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240" yWindow="270" windowWidth="15480" windowHeight="11010" firstSheet="9" activeTab="10"/>
  </bookViews>
  <sheets>
    <sheet name="бур" sheetId="2" state="hidden" r:id="rId1"/>
    <sheet name="дамды 13г" sheetId="58" state="hidden" r:id="rId2"/>
    <sheet name="наур" sheetId="22" state="hidden" r:id="rId3"/>
    <sheet name="Улен" sheetId="21" state="hidden" r:id="rId4"/>
    <sheet name="ахп (на 1 сен) (стар)" sheetId="79" r:id="rId5"/>
    <sheet name="ахп нов (на 1 сен)" sheetId="75" r:id="rId6"/>
    <sheet name="шил" sheetId="26" state="hidden" r:id="rId7"/>
    <sheet name="ауп  (на 1 сен) (стар)" sheetId="80" r:id="rId8"/>
    <sheet name="ауп нов (на 1 сен)нов." sheetId="76" r:id="rId9"/>
    <sheet name="шили 2019 (на 1 сен) (стар)" sheetId="81" r:id="rId10"/>
    <sheet name="шили 2019 (на 1 сен)новый " sheetId="83" r:id="rId11"/>
  </sheets>
  <definedNames>
    <definedName name="_xlnm.Print_Area" localSheetId="7">'ауп  (на 1 сен) (стар)'!$A$1:$AC$30</definedName>
    <definedName name="_xlnm.Print_Area" localSheetId="8">'ауп нов (на 1 сен)нов.'!$A$1:$W$33</definedName>
    <definedName name="_xlnm.Print_Area" localSheetId="4">'ахп (на 1 сен) (стар)'!$A$1:$W$30</definedName>
    <definedName name="_xlnm.Print_Area" localSheetId="5">'ахп нов (на 1 сен)'!$A$1:$W$30</definedName>
    <definedName name="_xlnm.Print_Area" localSheetId="3">Улен!$A$1:$BI$56</definedName>
    <definedName name="_xlnm.Print_Area" localSheetId="6">шил!$A$1:$BK$52</definedName>
    <definedName name="_xlnm.Print_Area" localSheetId="9">'шили 2019 (на 1 сен) (стар)'!$A$1:$BF$52</definedName>
    <definedName name="_xlnm.Print_Area" localSheetId="10">'шили 2019 (на 1 сен)новый '!$A$1:$CF$64</definedName>
  </definedNames>
  <calcPr calcId="124519"/>
</workbook>
</file>

<file path=xl/calcChain.xml><?xml version="1.0" encoding="utf-8"?>
<calcChain xmlns="http://schemas.openxmlformats.org/spreadsheetml/2006/main">
  <c r="Q26" i="76"/>
  <c r="R26"/>
  <c r="V26"/>
  <c r="Q26" i="80"/>
  <c r="R26"/>
  <c r="V26"/>
  <c r="L18" i="81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O45"/>
  <c r="P45"/>
  <c r="V45"/>
  <c r="W45"/>
  <c r="X45"/>
  <c r="Y45"/>
  <c r="Z45"/>
  <c r="AA45"/>
  <c r="AB45"/>
  <c r="AC45"/>
  <c r="AD45"/>
  <c r="AE45"/>
  <c r="AF45"/>
  <c r="AG45"/>
  <c r="AK45"/>
  <c r="AM45"/>
  <c r="AN45"/>
  <c r="AP45"/>
  <c r="AR45"/>
  <c r="AT45"/>
  <c r="AU45"/>
  <c r="AV45"/>
  <c r="AW45"/>
  <c r="AX45"/>
  <c r="AY45"/>
  <c r="AZ45"/>
  <c r="BA45"/>
  <c r="BB45"/>
  <c r="BC45"/>
  <c r="N45"/>
  <c r="BD44"/>
  <c r="BD43"/>
  <c r="BD42"/>
  <c r="BD26"/>
  <c r="BD24"/>
  <c r="BD45" s="1"/>
  <c r="BD30"/>
  <c r="BY24" i="83"/>
  <c r="BL45"/>
  <c r="BO45"/>
  <c r="BR45"/>
  <c r="BU45"/>
  <c r="BX45"/>
  <c r="BY45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4"/>
  <c r="BK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O45"/>
  <c r="P45"/>
  <c r="V45"/>
  <c r="W45"/>
  <c r="X45"/>
  <c r="Y45"/>
  <c r="Z45"/>
  <c r="AA45"/>
  <c r="AB45"/>
  <c r="AC45"/>
  <c r="AD45"/>
  <c r="AE45"/>
  <c r="AF45"/>
  <c r="AG45"/>
  <c r="AK45"/>
  <c r="AM45"/>
  <c r="AN45"/>
  <c r="AP45"/>
  <c r="AR45"/>
  <c r="AT45"/>
  <c r="AU45"/>
  <c r="AV45"/>
  <c r="AW45"/>
  <c r="AX45"/>
  <c r="AY45"/>
  <c r="AZ45"/>
  <c r="BA45"/>
  <c r="BB45"/>
  <c r="BC45"/>
  <c r="N45"/>
  <c r="BD24"/>
  <c r="BD26"/>
  <c r="BD44"/>
  <c r="BD43"/>
  <c r="BD42"/>
  <c r="BD30"/>
  <c r="BD45" l="1"/>
  <c r="BW45"/>
  <c r="BK45"/>
  <c r="BT45"/>
  <c r="BQ45"/>
  <c r="BN45"/>
  <c r="I44"/>
  <c r="AH43"/>
  <c r="I43"/>
  <c r="AL42"/>
  <c r="AJ42"/>
  <c r="AH42"/>
  <c r="I42"/>
  <c r="I41"/>
  <c r="I40"/>
  <c r="AL39"/>
  <c r="AJ39"/>
  <c r="AH39"/>
  <c r="I39"/>
  <c r="AL38"/>
  <c r="AJ38"/>
  <c r="AH38"/>
  <c r="I38"/>
  <c r="AL37"/>
  <c r="AJ37"/>
  <c r="AH37"/>
  <c r="I37"/>
  <c r="R37" s="1"/>
  <c r="AS36"/>
  <c r="AQ36"/>
  <c r="AO36"/>
  <c r="AL36"/>
  <c r="AJ36"/>
  <c r="AH36"/>
  <c r="I36"/>
  <c r="S36" s="1"/>
  <c r="AL35"/>
  <c r="AJ35"/>
  <c r="AH35"/>
  <c r="I35"/>
  <c r="AL34"/>
  <c r="AJ34"/>
  <c r="AH34"/>
  <c r="I34"/>
  <c r="AL33"/>
  <c r="AJ33"/>
  <c r="AH33"/>
  <c r="I33"/>
  <c r="AL32"/>
  <c r="AJ32"/>
  <c r="AI32"/>
  <c r="AH32"/>
  <c r="I32"/>
  <c r="AL31"/>
  <c r="AJ31"/>
  <c r="AI31"/>
  <c r="AH31"/>
  <c r="I31"/>
  <c r="R31" s="1"/>
  <c r="AL30"/>
  <c r="AJ30"/>
  <c r="AI30"/>
  <c r="AI45" s="1"/>
  <c r="AH30"/>
  <c r="I30"/>
  <c r="AL29"/>
  <c r="AJ29"/>
  <c r="AH29"/>
  <c r="I29"/>
  <c r="AL28"/>
  <c r="AJ28"/>
  <c r="AH28"/>
  <c r="I28"/>
  <c r="AO27"/>
  <c r="AL27"/>
  <c r="AJ27"/>
  <c r="AH27"/>
  <c r="I27"/>
  <c r="AL26"/>
  <c r="AJ26"/>
  <c r="AH26"/>
  <c r="Q26"/>
  <c r="I26"/>
  <c r="AL25"/>
  <c r="AJ25"/>
  <c r="AH25"/>
  <c r="I25"/>
  <c r="AL24"/>
  <c r="AJ24"/>
  <c r="AH24"/>
  <c r="I24"/>
  <c r="AL23"/>
  <c r="AJ23"/>
  <c r="AH23"/>
  <c r="I23"/>
  <c r="AL22"/>
  <c r="AJ22"/>
  <c r="AH22"/>
  <c r="I22"/>
  <c r="AL21"/>
  <c r="AJ21"/>
  <c r="AH21"/>
  <c r="I21"/>
  <c r="AL20"/>
  <c r="AJ20"/>
  <c r="AH20"/>
  <c r="I20"/>
  <c r="AJ19"/>
  <c r="AH19"/>
  <c r="I19"/>
  <c r="AL18"/>
  <c r="AJ18"/>
  <c r="AH18"/>
  <c r="I18"/>
  <c r="AS17"/>
  <c r="AQ17"/>
  <c r="AQ45" s="1"/>
  <c r="AL17"/>
  <c r="AJ17"/>
  <c r="AJ45" s="1"/>
  <c r="AH17"/>
  <c r="L17"/>
  <c r="L45" s="1"/>
  <c r="I17"/>
  <c r="BC12"/>
  <c r="BC9"/>
  <c r="BC8"/>
  <c r="BC7"/>
  <c r="BC6"/>
  <c r="BC5"/>
  <c r="BC4"/>
  <c r="R17" l="1"/>
  <c r="BV17"/>
  <c r="BS17"/>
  <c r="BP17"/>
  <c r="BM17"/>
  <c r="S20"/>
  <c r="BV20"/>
  <c r="BS20"/>
  <c r="BP20"/>
  <c r="BM20"/>
  <c r="S21"/>
  <c r="BV21"/>
  <c r="BS21"/>
  <c r="BP21"/>
  <c r="BM21"/>
  <c r="S22"/>
  <c r="BV22"/>
  <c r="BS22"/>
  <c r="BP22"/>
  <c r="BM22"/>
  <c r="S23"/>
  <c r="BV23"/>
  <c r="BS23"/>
  <c r="BP23"/>
  <c r="BM23"/>
  <c r="S24"/>
  <c r="BV24"/>
  <c r="BS24"/>
  <c r="BP24"/>
  <c r="BM24"/>
  <c r="S25"/>
  <c r="BV25"/>
  <c r="BS25"/>
  <c r="BP25"/>
  <c r="BM25"/>
  <c r="S26"/>
  <c r="BV26"/>
  <c r="BS26"/>
  <c r="BP26"/>
  <c r="BM26"/>
  <c r="S28"/>
  <c r="BV28"/>
  <c r="BS28"/>
  <c r="BP28"/>
  <c r="BM28"/>
  <c r="S29"/>
  <c r="BV29"/>
  <c r="BS29"/>
  <c r="BP29"/>
  <c r="BM29"/>
  <c r="S30"/>
  <c r="BV30"/>
  <c r="BS30"/>
  <c r="BP30"/>
  <c r="BM30"/>
  <c r="T33"/>
  <c r="BV33"/>
  <c r="BS33"/>
  <c r="BP33"/>
  <c r="BM33"/>
  <c r="T34"/>
  <c r="BV34"/>
  <c r="BS34"/>
  <c r="BP34"/>
  <c r="BM34"/>
  <c r="T38"/>
  <c r="BV38"/>
  <c r="BS38"/>
  <c r="BP38"/>
  <c r="BM38"/>
  <c r="T39"/>
  <c r="BV39"/>
  <c r="BS39"/>
  <c r="BP39"/>
  <c r="BM39"/>
  <c r="T41"/>
  <c r="BV41"/>
  <c r="BS41"/>
  <c r="BP41"/>
  <c r="BM41"/>
  <c r="S18"/>
  <c r="BV18"/>
  <c r="BS18"/>
  <c r="BP18"/>
  <c r="BM18"/>
  <c r="T19"/>
  <c r="BV19"/>
  <c r="BS19"/>
  <c r="BP19"/>
  <c r="BM19"/>
  <c r="T27"/>
  <c r="BV27"/>
  <c r="BS27"/>
  <c r="BP27"/>
  <c r="BM27"/>
  <c r="T31"/>
  <c r="BV31"/>
  <c r="BS31"/>
  <c r="BP31"/>
  <c r="BM31"/>
  <c r="T32"/>
  <c r="BV32"/>
  <c r="BS32"/>
  <c r="BP32"/>
  <c r="BM32"/>
  <c r="T35"/>
  <c r="BV35"/>
  <c r="BS35"/>
  <c r="BP35"/>
  <c r="BM35"/>
  <c r="T36"/>
  <c r="BV36"/>
  <c r="BS36"/>
  <c r="BP36"/>
  <c r="BM36"/>
  <c r="T37"/>
  <c r="BV37"/>
  <c r="BS37"/>
  <c r="BP37"/>
  <c r="BM37"/>
  <c r="T40"/>
  <c r="BV40"/>
  <c r="BS40"/>
  <c r="BP40"/>
  <c r="BM40"/>
  <c r="T42"/>
  <c r="BV42"/>
  <c r="BS42"/>
  <c r="BP42"/>
  <c r="BM42"/>
  <c r="R43"/>
  <c r="BV43"/>
  <c r="BS43"/>
  <c r="BP43"/>
  <c r="BM43"/>
  <c r="T44"/>
  <c r="BF44" s="1"/>
  <c r="BM44"/>
  <c r="BV44"/>
  <c r="BS44"/>
  <c r="BP44"/>
  <c r="S34"/>
  <c r="R39"/>
  <c r="S17"/>
  <c r="T18"/>
  <c r="S42"/>
  <c r="T43"/>
  <c r="AH45"/>
  <c r="AL45"/>
  <c r="AS45"/>
  <c r="R19"/>
  <c r="T20"/>
  <c r="U20" s="1"/>
  <c r="BE20" s="1"/>
  <c r="S27"/>
  <c r="AO45"/>
  <c r="S31"/>
  <c r="R32"/>
  <c r="S33"/>
  <c r="S35"/>
  <c r="R38"/>
  <c r="R40"/>
  <c r="R41"/>
  <c r="R42"/>
  <c r="U31"/>
  <c r="BE31" s="1"/>
  <c r="T21"/>
  <c r="T23"/>
  <c r="T25"/>
  <c r="T28"/>
  <c r="T29"/>
  <c r="I45"/>
  <c r="T17"/>
  <c r="S19"/>
  <c r="R27"/>
  <c r="S32"/>
  <c r="R33"/>
  <c r="R34"/>
  <c r="R35"/>
  <c r="R36"/>
  <c r="S37"/>
  <c r="S38"/>
  <c r="S39"/>
  <c r="S40"/>
  <c r="U43"/>
  <c r="BE43" s="1"/>
  <c r="R22"/>
  <c r="R23"/>
  <c r="R26"/>
  <c r="R28"/>
  <c r="R29"/>
  <c r="R30"/>
  <c r="U41"/>
  <c r="BE41" s="1"/>
  <c r="U42"/>
  <c r="BE42" s="1"/>
  <c r="T22"/>
  <c r="T24"/>
  <c r="T26"/>
  <c r="T30"/>
  <c r="R21"/>
  <c r="R24"/>
  <c r="R25"/>
  <c r="U18"/>
  <c r="U19"/>
  <c r="BE19" s="1"/>
  <c r="U37"/>
  <c r="U38"/>
  <c r="BM45" l="1"/>
  <c r="BS45"/>
  <c r="BP45"/>
  <c r="BV45"/>
  <c r="BF43"/>
  <c r="BF31"/>
  <c r="U17"/>
  <c r="BF17" s="1"/>
  <c r="T45"/>
  <c r="U26"/>
  <c r="BF42"/>
  <c r="BF20"/>
  <c r="S45"/>
  <c r="U40"/>
  <c r="BE40" s="1"/>
  <c r="U32"/>
  <c r="BE32" s="1"/>
  <c r="BF41"/>
  <c r="BF19"/>
  <c r="R45"/>
  <c r="BE38"/>
  <c r="BF38" s="1"/>
  <c r="BE37"/>
  <c r="BF37" s="1"/>
  <c r="U35"/>
  <c r="U24"/>
  <c r="U36"/>
  <c r="U29"/>
  <c r="BE29" s="1"/>
  <c r="U22"/>
  <c r="U34"/>
  <c r="BE34" s="1"/>
  <c r="U27"/>
  <c r="BE27" s="1"/>
  <c r="BE18"/>
  <c r="BF18" s="1"/>
  <c r="BE17"/>
  <c r="U21"/>
  <c r="U30"/>
  <c r="BE30" s="1"/>
  <c r="U23"/>
  <c r="U39"/>
  <c r="BE39" s="1"/>
  <c r="U25"/>
  <c r="U28"/>
  <c r="U33"/>
  <c r="BE33" s="1"/>
  <c r="BL24" i="81"/>
  <c r="AL24"/>
  <c r="AJ24"/>
  <c r="AH24"/>
  <c r="S24"/>
  <c r="I24"/>
  <c r="R24" s="1"/>
  <c r="BF29" i="83" l="1"/>
  <c r="BF30"/>
  <c r="BE26"/>
  <c r="BF26" s="1"/>
  <c r="BF34"/>
  <c r="BF32"/>
  <c r="BF33"/>
  <c r="BF40"/>
  <c r="BF27"/>
  <c r="U45"/>
  <c r="BF39"/>
  <c r="BE36"/>
  <c r="BF36" s="1"/>
  <c r="BE25"/>
  <c r="BF25" s="1"/>
  <c r="BE23"/>
  <c r="BF23" s="1"/>
  <c r="BE22"/>
  <c r="BF22" s="1"/>
  <c r="BE28"/>
  <c r="BF28" s="1"/>
  <c r="BE24"/>
  <c r="BF24" s="1"/>
  <c r="BE35"/>
  <c r="BF35" s="1"/>
  <c r="BE21"/>
  <c r="T24" i="81"/>
  <c r="U24" s="1"/>
  <c r="BE24" s="1"/>
  <c r="BK45"/>
  <c r="BJ45"/>
  <c r="BI45"/>
  <c r="I44"/>
  <c r="T44" s="1"/>
  <c r="BF44" s="1"/>
  <c r="AH43"/>
  <c r="I43"/>
  <c r="R43" s="1"/>
  <c r="BL42"/>
  <c r="AL42"/>
  <c r="AJ42"/>
  <c r="AH42"/>
  <c r="I42"/>
  <c r="T42" s="1"/>
  <c r="I41"/>
  <c r="T41" s="1"/>
  <c r="I40"/>
  <c r="S40" s="1"/>
  <c r="BL39"/>
  <c r="AL39"/>
  <c r="AJ39"/>
  <c r="AH39"/>
  <c r="I39"/>
  <c r="S39" s="1"/>
  <c r="BL38"/>
  <c r="AL38"/>
  <c r="AJ38"/>
  <c r="AH38"/>
  <c r="I38"/>
  <c r="S38" s="1"/>
  <c r="BL37"/>
  <c r="AL37"/>
  <c r="AJ37"/>
  <c r="AH37"/>
  <c r="I37"/>
  <c r="S37" s="1"/>
  <c r="BL36"/>
  <c r="AS36"/>
  <c r="AQ36"/>
  <c r="AO36"/>
  <c r="AL36"/>
  <c r="AJ36"/>
  <c r="AH36"/>
  <c r="I36"/>
  <c r="R36" s="1"/>
  <c r="BL35"/>
  <c r="AL35"/>
  <c r="AJ35"/>
  <c r="AH35"/>
  <c r="I35"/>
  <c r="R35" s="1"/>
  <c r="BL34"/>
  <c r="AL34"/>
  <c r="AJ34"/>
  <c r="AH34"/>
  <c r="I34"/>
  <c r="R34" s="1"/>
  <c r="BL33"/>
  <c r="AL33"/>
  <c r="AJ33"/>
  <c r="AH33"/>
  <c r="I33"/>
  <c r="R33" s="1"/>
  <c r="BL32"/>
  <c r="AL32"/>
  <c r="AJ32"/>
  <c r="AI32"/>
  <c r="AH32"/>
  <c r="I32"/>
  <c r="S32" s="1"/>
  <c r="BL31"/>
  <c r="AL31"/>
  <c r="AJ31"/>
  <c r="AI31"/>
  <c r="AH31"/>
  <c r="I31"/>
  <c r="T31" s="1"/>
  <c r="BL30"/>
  <c r="AL30"/>
  <c r="AJ30"/>
  <c r="AI30"/>
  <c r="AI45" s="1"/>
  <c r="AH30"/>
  <c r="I30"/>
  <c r="T30" s="1"/>
  <c r="BL29"/>
  <c r="AL29"/>
  <c r="AJ29"/>
  <c r="AH29"/>
  <c r="I29"/>
  <c r="S29" s="1"/>
  <c r="BL28"/>
  <c r="AL28"/>
  <c r="AJ28"/>
  <c r="AH28"/>
  <c r="I28"/>
  <c r="T28" s="1"/>
  <c r="BL27"/>
  <c r="AO27"/>
  <c r="AL27"/>
  <c r="AJ27"/>
  <c r="AH27"/>
  <c r="I27"/>
  <c r="R27" s="1"/>
  <c r="AL26"/>
  <c r="AJ26"/>
  <c r="AH26"/>
  <c r="Q26"/>
  <c r="I26"/>
  <c r="T26" s="1"/>
  <c r="BL25"/>
  <c r="AL25"/>
  <c r="AJ25"/>
  <c r="AH25"/>
  <c r="I25"/>
  <c r="S25" s="1"/>
  <c r="BL23"/>
  <c r="AL23"/>
  <c r="AJ23"/>
  <c r="AH23"/>
  <c r="I23"/>
  <c r="T23" s="1"/>
  <c r="BL22"/>
  <c r="AL22"/>
  <c r="AJ22"/>
  <c r="AH22"/>
  <c r="I22"/>
  <c r="S22" s="1"/>
  <c r="BL21"/>
  <c r="AL21"/>
  <c r="AJ21"/>
  <c r="AH21"/>
  <c r="I21"/>
  <c r="BL20"/>
  <c r="AL20"/>
  <c r="AJ20"/>
  <c r="AH20"/>
  <c r="I20"/>
  <c r="T20" s="1"/>
  <c r="BL19"/>
  <c r="AJ19"/>
  <c r="AH19"/>
  <c r="I19"/>
  <c r="S19" s="1"/>
  <c r="BL18"/>
  <c r="AL18"/>
  <c r="AJ18"/>
  <c r="AH18"/>
  <c r="I18"/>
  <c r="S18" s="1"/>
  <c r="BL17"/>
  <c r="BL45" s="1"/>
  <c r="AS17"/>
  <c r="AS45" s="1"/>
  <c r="AQ17"/>
  <c r="AQ45" s="1"/>
  <c r="AL17"/>
  <c r="AL45" s="1"/>
  <c r="AJ17"/>
  <c r="AH17"/>
  <c r="AH45" s="1"/>
  <c r="L17"/>
  <c r="L45" s="1"/>
  <c r="I17"/>
  <c r="T17" s="1"/>
  <c r="BC12"/>
  <c r="BC9"/>
  <c r="BC8"/>
  <c r="BC7"/>
  <c r="BC6"/>
  <c r="BC5"/>
  <c r="BC4"/>
  <c r="P26" i="80"/>
  <c r="L25"/>
  <c r="S25" s="1"/>
  <c r="L24"/>
  <c r="S24" s="1"/>
  <c r="L23"/>
  <c r="S23" s="1"/>
  <c r="L22"/>
  <c r="S22" s="1"/>
  <c r="T22" s="1"/>
  <c r="L21"/>
  <c r="S21" s="1"/>
  <c r="L20"/>
  <c r="S20" s="1"/>
  <c r="S19"/>
  <c r="T19" s="1"/>
  <c r="L18"/>
  <c r="S18" s="1"/>
  <c r="L17"/>
  <c r="S17" s="1"/>
  <c r="T17" s="1"/>
  <c r="U22" i="79"/>
  <c r="Q22"/>
  <c r="P22"/>
  <c r="L21"/>
  <c r="R21" s="1"/>
  <c r="T21" s="1"/>
  <c r="L20"/>
  <c r="R20" s="1"/>
  <c r="T20" s="1"/>
  <c r="L19"/>
  <c r="R19" s="1"/>
  <c r="S19" s="1"/>
  <c r="T19" s="1"/>
  <c r="L18"/>
  <c r="R18" s="1"/>
  <c r="S18" s="1"/>
  <c r="T18" s="1"/>
  <c r="V18" s="1"/>
  <c r="L17"/>
  <c r="R17" s="1"/>
  <c r="AJ45" i="81" l="1"/>
  <c r="AO45"/>
  <c r="BF24"/>
  <c r="S26" i="80"/>
  <c r="BE45" i="83"/>
  <c r="BF21"/>
  <c r="BF45" s="1"/>
  <c r="R40" i="81"/>
  <c r="S31"/>
  <c r="R32"/>
  <c r="S20"/>
  <c r="R39"/>
  <c r="S17"/>
  <c r="R31"/>
  <c r="R37"/>
  <c r="R41"/>
  <c r="S42"/>
  <c r="T43"/>
  <c r="U43" s="1"/>
  <c r="BE43" s="1"/>
  <c r="R17"/>
  <c r="R19"/>
  <c r="I45"/>
  <c r="R38"/>
  <c r="R42"/>
  <c r="T20" i="80"/>
  <c r="T21"/>
  <c r="U19"/>
  <c r="W19" s="1"/>
  <c r="L26"/>
  <c r="T21" i="81"/>
  <c r="S21"/>
  <c r="S23"/>
  <c r="S26"/>
  <c r="T27"/>
  <c r="S28"/>
  <c r="S30"/>
  <c r="T33"/>
  <c r="T18"/>
  <c r="T19"/>
  <c r="R21"/>
  <c r="R22"/>
  <c r="R23"/>
  <c r="R25"/>
  <c r="R26"/>
  <c r="S27"/>
  <c r="R28"/>
  <c r="R29"/>
  <c r="R30"/>
  <c r="T32"/>
  <c r="S33"/>
  <c r="S34"/>
  <c r="S35"/>
  <c r="S36"/>
  <c r="T37"/>
  <c r="T38"/>
  <c r="T39"/>
  <c r="T40"/>
  <c r="U40" s="1"/>
  <c r="BE40" s="1"/>
  <c r="T22"/>
  <c r="T25"/>
  <c r="T29"/>
  <c r="T34"/>
  <c r="T35"/>
  <c r="T36"/>
  <c r="U20"/>
  <c r="BE20" s="1"/>
  <c r="T18" i="80"/>
  <c r="U25"/>
  <c r="W25" s="1"/>
  <c r="U24"/>
  <c r="W24" s="1"/>
  <c r="U23"/>
  <c r="W23" s="1"/>
  <c r="U17"/>
  <c r="W17" s="1"/>
  <c r="U22"/>
  <c r="W22" s="1"/>
  <c r="R22" i="79"/>
  <c r="S17"/>
  <c r="L22"/>
  <c r="V19"/>
  <c r="V20"/>
  <c r="V21"/>
  <c r="U41" i="81" l="1"/>
  <c r="BE41" s="1"/>
  <c r="U31"/>
  <c r="BE31" s="1"/>
  <c r="BF40"/>
  <c r="BF43"/>
  <c r="T45"/>
  <c r="U17"/>
  <c r="R45"/>
  <c r="S45"/>
  <c r="BF20"/>
  <c r="U21" i="80"/>
  <c r="W21" s="1"/>
  <c r="U20"/>
  <c r="W20" s="1"/>
  <c r="T26"/>
  <c r="U42" i="81"/>
  <c r="BE42" s="1"/>
  <c r="U34"/>
  <c r="BF34" s="1"/>
  <c r="U19"/>
  <c r="BF19" s="1"/>
  <c r="BE17"/>
  <c r="U38"/>
  <c r="U35"/>
  <c r="BE19"/>
  <c r="BE34"/>
  <c r="U22"/>
  <c r="BE22" s="1"/>
  <c r="U28"/>
  <c r="BE28" s="1"/>
  <c r="U23"/>
  <c r="U33"/>
  <c r="BE33" s="1"/>
  <c r="U18"/>
  <c r="BE18" s="1"/>
  <c r="U37"/>
  <c r="U32"/>
  <c r="BE32" s="1"/>
  <c r="U36"/>
  <c r="U27"/>
  <c r="U29"/>
  <c r="BE29" s="1"/>
  <c r="U25"/>
  <c r="BE25" s="1"/>
  <c r="U30"/>
  <c r="BE30" s="1"/>
  <c r="U26"/>
  <c r="BE26" s="1"/>
  <c r="U21"/>
  <c r="BE21" s="1"/>
  <c r="U39"/>
  <c r="BE39" s="1"/>
  <c r="U18" i="80"/>
  <c r="U26" s="1"/>
  <c r="S22" i="79"/>
  <c r="T17"/>
  <c r="T22" s="1"/>
  <c r="BF42" i="81" l="1"/>
  <c r="BF25"/>
  <c r="BF17"/>
  <c r="U45"/>
  <c r="BF32"/>
  <c r="BF21"/>
  <c r="BF26"/>
  <c r="BF30"/>
  <c r="BF18"/>
  <c r="BF22"/>
  <c r="BF29"/>
  <c r="BF39"/>
  <c r="BF28"/>
  <c r="BF31"/>
  <c r="BF41"/>
  <c r="BF33"/>
  <c r="W18" i="80"/>
  <c r="W26" s="1"/>
  <c r="V17" i="79"/>
  <c r="V22" s="1"/>
  <c r="BE35" i="81"/>
  <c r="BF35" s="1"/>
  <c r="BE23"/>
  <c r="BF23" s="1"/>
  <c r="BE36"/>
  <c r="BF36" s="1"/>
  <c r="BE38"/>
  <c r="BF38" s="1"/>
  <c r="BE27"/>
  <c r="BF27" s="1"/>
  <c r="BE37"/>
  <c r="BF37" s="1"/>
  <c r="BE45" l="1"/>
  <c r="BF45"/>
  <c r="P26" i="76"/>
  <c r="L25"/>
  <c r="S25" s="1"/>
  <c r="L24"/>
  <c r="S24" s="1"/>
  <c r="L23"/>
  <c r="S23" s="1"/>
  <c r="L22"/>
  <c r="S22"/>
  <c r="L21"/>
  <c r="S21" s="1"/>
  <c r="L20"/>
  <c r="S20" s="1"/>
  <c r="T20" s="1"/>
  <c r="S19"/>
  <c r="L18"/>
  <c r="S18" s="1"/>
  <c r="L17"/>
  <c r="S17" s="1"/>
  <c r="U22" i="75"/>
  <c r="Q22"/>
  <c r="P22"/>
  <c r="L21"/>
  <c r="R21" s="1"/>
  <c r="T21" s="1"/>
  <c r="L20"/>
  <c r="R20" s="1"/>
  <c r="T20" s="1"/>
  <c r="L19"/>
  <c r="R19" s="1"/>
  <c r="S19" s="1"/>
  <c r="T19" s="1"/>
  <c r="V19" s="1"/>
  <c r="L18"/>
  <c r="R18"/>
  <c r="S18" s="1"/>
  <c r="T18" s="1"/>
  <c r="V18" s="1"/>
  <c r="L17"/>
  <c r="L22"/>
  <c r="I47" i="26"/>
  <c r="R47"/>
  <c r="S47"/>
  <c r="T47"/>
  <c r="AK47"/>
  <c r="AL47"/>
  <c r="AM47"/>
  <c r="AN47"/>
  <c r="AO47"/>
  <c r="AS47"/>
  <c r="BE47"/>
  <c r="J32" i="2"/>
  <c r="R48"/>
  <c r="J47"/>
  <c r="Q48"/>
  <c r="AL32"/>
  <c r="T32"/>
  <c r="BF7"/>
  <c r="BE9"/>
  <c r="BE8"/>
  <c r="BC9"/>
  <c r="BC8"/>
  <c r="BA28"/>
  <c r="BA27"/>
  <c r="BB27" s="1"/>
  <c r="BC27"/>
  <c r="BC28"/>
  <c r="BB28"/>
  <c r="AJ28"/>
  <c r="S28"/>
  <c r="J28"/>
  <c r="T28"/>
  <c r="U28"/>
  <c r="BA46"/>
  <c r="BC46"/>
  <c r="BB46" s="1"/>
  <c r="BJ47" i="58"/>
  <c r="AJ47"/>
  <c r="AI47"/>
  <c r="AH47"/>
  <c r="AG47"/>
  <c r="AF47"/>
  <c r="AE47"/>
  <c r="AD47"/>
  <c r="AC47"/>
  <c r="AB47"/>
  <c r="AA47"/>
  <c r="Z47"/>
  <c r="Y47"/>
  <c r="R47"/>
  <c r="P47"/>
  <c r="J45"/>
  <c r="J44"/>
  <c r="J43"/>
  <c r="J42"/>
  <c r="J41"/>
  <c r="J40"/>
  <c r="J38"/>
  <c r="J37"/>
  <c r="J36"/>
  <c r="J35"/>
  <c r="J34"/>
  <c r="J33"/>
  <c r="J32"/>
  <c r="J31"/>
  <c r="J30"/>
  <c r="J29"/>
  <c r="J28"/>
  <c r="J27"/>
  <c r="J26"/>
  <c r="J47" s="1"/>
  <c r="BG13"/>
  <c r="BG12"/>
  <c r="BG11"/>
  <c r="BG10"/>
  <c r="BG9"/>
  <c r="BG8" s="1"/>
  <c r="BG5" s="1"/>
  <c r="BF8"/>
  <c r="BE8"/>
  <c r="BD8"/>
  <c r="BD5" s="1"/>
  <c r="BG7"/>
  <c r="BG6"/>
  <c r="BG4"/>
  <c r="BG3"/>
  <c r="BG2"/>
  <c r="AP27" i="2"/>
  <c r="AP26"/>
  <c r="AJ26"/>
  <c r="AM46"/>
  <c r="AN46"/>
  <c r="AL46"/>
  <c r="AK46"/>
  <c r="U46"/>
  <c r="T46"/>
  <c r="V46" s="1"/>
  <c r="AJ46"/>
  <c r="AJ44"/>
  <c r="AJ45"/>
  <c r="J46"/>
  <c r="BA39"/>
  <c r="BA30"/>
  <c r="BA31"/>
  <c r="BB50" i="21"/>
  <c r="BB28"/>
  <c r="AQ28"/>
  <c r="AQ29"/>
  <c r="AQ30"/>
  <c r="AQ31"/>
  <c r="AQ32"/>
  <c r="AQ33"/>
  <c r="AQ34"/>
  <c r="AQ35"/>
  <c r="AQ36"/>
  <c r="BI4" i="26"/>
  <c r="BI5"/>
  <c r="BI6"/>
  <c r="BI7"/>
  <c r="BI8"/>
  <c r="BI9"/>
  <c r="BJ10"/>
  <c r="BK10"/>
  <c r="BJ11"/>
  <c r="BK11"/>
  <c r="BJ12"/>
  <c r="BK12"/>
  <c r="BJ13"/>
  <c r="BK13"/>
  <c r="AJ19"/>
  <c r="AK19"/>
  <c r="AL19"/>
  <c r="AM19"/>
  <c r="AN19"/>
  <c r="AO19"/>
  <c r="AJ20"/>
  <c r="AK20"/>
  <c r="AL20"/>
  <c r="AM20"/>
  <c r="AN20"/>
  <c r="AO20"/>
  <c r="AQ20"/>
  <c r="AS20"/>
  <c r="AU20"/>
  <c r="AV20"/>
  <c r="AW20"/>
  <c r="AX20"/>
  <c r="AY20"/>
  <c r="AZ20"/>
  <c r="BA20"/>
  <c r="BF20"/>
  <c r="I22"/>
  <c r="R22"/>
  <c r="S22"/>
  <c r="T22"/>
  <c r="AL22"/>
  <c r="AM22"/>
  <c r="AN22"/>
  <c r="AO22"/>
  <c r="AS22"/>
  <c r="BC22"/>
  <c r="BD22" s="1"/>
  <c r="BE22"/>
  <c r="I23"/>
  <c r="R23"/>
  <c r="W23" s="1"/>
  <c r="BJ23" s="1"/>
  <c r="S23"/>
  <c r="T23"/>
  <c r="AJ23"/>
  <c r="AJ48" s="1"/>
  <c r="AL23"/>
  <c r="AM23"/>
  <c r="AN23"/>
  <c r="AO23"/>
  <c r="AO48" s="1"/>
  <c r="AQ23"/>
  <c r="AS23"/>
  <c r="AS48" s="1"/>
  <c r="AU23"/>
  <c r="BE23"/>
  <c r="I24"/>
  <c r="R24"/>
  <c r="S24"/>
  <c r="T24"/>
  <c r="AL24"/>
  <c r="AM24"/>
  <c r="AN24"/>
  <c r="AO24"/>
  <c r="AS24"/>
  <c r="BC24"/>
  <c r="BD24" s="1"/>
  <c r="BE24"/>
  <c r="I25"/>
  <c r="R25"/>
  <c r="W25" s="1"/>
  <c r="BJ25" s="1"/>
  <c r="S25"/>
  <c r="T25"/>
  <c r="T48" s="1"/>
  <c r="AJ25"/>
  <c r="AK25"/>
  <c r="AL25"/>
  <c r="AM25"/>
  <c r="AN25"/>
  <c r="AO25"/>
  <c r="AS25"/>
  <c r="BC25"/>
  <c r="BE25"/>
  <c r="BS25"/>
  <c r="BV25" s="1"/>
  <c r="BT25"/>
  <c r="BU25"/>
  <c r="I26"/>
  <c r="R26"/>
  <c r="S26"/>
  <c r="T26"/>
  <c r="AJ26"/>
  <c r="AK26"/>
  <c r="AL26"/>
  <c r="AM26"/>
  <c r="AN26"/>
  <c r="AO26"/>
  <c r="AS26"/>
  <c r="BC26"/>
  <c r="BD26" s="1"/>
  <c r="BK26" s="1"/>
  <c r="BE26"/>
  <c r="BV26"/>
  <c r="I27"/>
  <c r="R27"/>
  <c r="S27"/>
  <c r="T27"/>
  <c r="AJ27"/>
  <c r="AK27"/>
  <c r="AL27"/>
  <c r="AM27"/>
  <c r="AN27"/>
  <c r="AO27"/>
  <c r="AS27"/>
  <c r="BE27"/>
  <c r="BV27"/>
  <c r="I28"/>
  <c r="R28"/>
  <c r="S28"/>
  <c r="T28"/>
  <c r="AK28"/>
  <c r="AL28"/>
  <c r="AM28"/>
  <c r="AN28"/>
  <c r="AO28"/>
  <c r="AS28"/>
  <c r="BC28"/>
  <c r="BE28"/>
  <c r="BD28" s="1"/>
  <c r="BV28"/>
  <c r="I29"/>
  <c r="R29"/>
  <c r="S29"/>
  <c r="T29"/>
  <c r="AK29"/>
  <c r="AL29"/>
  <c r="AM29"/>
  <c r="AN29"/>
  <c r="AO29"/>
  <c r="AS29"/>
  <c r="BC29"/>
  <c r="BE29"/>
  <c r="BD29" s="1"/>
  <c r="I30"/>
  <c r="R30"/>
  <c r="S30"/>
  <c r="T30"/>
  <c r="AL30"/>
  <c r="AM30"/>
  <c r="AN30"/>
  <c r="AO30"/>
  <c r="AS30"/>
  <c r="BE30"/>
  <c r="I31"/>
  <c r="R31"/>
  <c r="S31"/>
  <c r="T31"/>
  <c r="AJ31"/>
  <c r="AK31"/>
  <c r="AL31"/>
  <c r="AM31"/>
  <c r="AN31"/>
  <c r="AO31"/>
  <c r="AS31"/>
  <c r="BC31"/>
  <c r="BE31"/>
  <c r="BD31" s="1"/>
  <c r="I32"/>
  <c r="R32"/>
  <c r="S32"/>
  <c r="T32"/>
  <c r="AK32"/>
  <c r="AL32"/>
  <c r="AM32"/>
  <c r="AN32"/>
  <c r="AO32"/>
  <c r="AS32"/>
  <c r="BC32"/>
  <c r="BE32"/>
  <c r="BD32" s="1"/>
  <c r="I33"/>
  <c r="R33"/>
  <c r="S33"/>
  <c r="T33"/>
  <c r="AJ33"/>
  <c r="AK33"/>
  <c r="AL33"/>
  <c r="AM33"/>
  <c r="AN33"/>
  <c r="AO33"/>
  <c r="AS33"/>
  <c r="BC33"/>
  <c r="BE33"/>
  <c r="I34"/>
  <c r="R34"/>
  <c r="S34"/>
  <c r="T34"/>
  <c r="AK34"/>
  <c r="AL34"/>
  <c r="AM34"/>
  <c r="AN34"/>
  <c r="AO34"/>
  <c r="AQ34"/>
  <c r="AQ48" s="1"/>
  <c r="AS34"/>
  <c r="BC34"/>
  <c r="BE34"/>
  <c r="I35"/>
  <c r="R35"/>
  <c r="S35"/>
  <c r="T35"/>
  <c r="AK35"/>
  <c r="AL35"/>
  <c r="AM35"/>
  <c r="AN35"/>
  <c r="AO35"/>
  <c r="AS35"/>
  <c r="BC35"/>
  <c r="BE35"/>
  <c r="BD35" s="1"/>
  <c r="BK35" s="1"/>
  <c r="I36"/>
  <c r="R36"/>
  <c r="S36"/>
  <c r="W36" s="1"/>
  <c r="BJ36" s="1"/>
  <c r="T36"/>
  <c r="AL36"/>
  <c r="AM36"/>
  <c r="AM48" s="1"/>
  <c r="AN36"/>
  <c r="AO36"/>
  <c r="AS36"/>
  <c r="BC36"/>
  <c r="BD36" s="1"/>
  <c r="BE36"/>
  <c r="I37"/>
  <c r="R37"/>
  <c r="S37"/>
  <c r="T37"/>
  <c r="AJ37"/>
  <c r="AL37"/>
  <c r="AM37"/>
  <c r="AN37"/>
  <c r="AO37"/>
  <c r="AS37"/>
  <c r="BC37"/>
  <c r="BE37"/>
  <c r="I38"/>
  <c r="R38"/>
  <c r="S38"/>
  <c r="BJ38" s="1"/>
  <c r="T38"/>
  <c r="W38"/>
  <c r="AJ38"/>
  <c r="AK38"/>
  <c r="AL38"/>
  <c r="AM38"/>
  <c r="AN38"/>
  <c r="AO38"/>
  <c r="AS38"/>
  <c r="BE38"/>
  <c r="I39"/>
  <c r="R39"/>
  <c r="S39"/>
  <c r="T39"/>
  <c r="AJ39"/>
  <c r="AK39"/>
  <c r="AL39"/>
  <c r="AM39"/>
  <c r="AN39"/>
  <c r="AO39"/>
  <c r="AS39"/>
  <c r="BC39"/>
  <c r="BE39"/>
  <c r="BD39" s="1"/>
  <c r="I40"/>
  <c r="R40"/>
  <c r="S40"/>
  <c r="T40"/>
  <c r="AL40"/>
  <c r="AM40"/>
  <c r="AN40"/>
  <c r="AO40"/>
  <c r="AS40"/>
  <c r="BC40"/>
  <c r="BE40"/>
  <c r="BD40" s="1"/>
  <c r="I41"/>
  <c r="R41"/>
  <c r="S41"/>
  <c r="T41"/>
  <c r="AK41"/>
  <c r="AL41"/>
  <c r="AM41"/>
  <c r="AN41"/>
  <c r="AO41"/>
  <c r="AS41"/>
  <c r="BC41"/>
  <c r="BE41"/>
  <c r="BD41"/>
  <c r="I42"/>
  <c r="R42"/>
  <c r="W42" s="1"/>
  <c r="S42"/>
  <c r="T42"/>
  <c r="BJ42" s="1"/>
  <c r="AK42"/>
  <c r="AL42"/>
  <c r="AM42"/>
  <c r="AN42"/>
  <c r="BC42"/>
  <c r="BE42"/>
  <c r="BD42" s="1"/>
  <c r="I43"/>
  <c r="R43"/>
  <c r="BJ43" s="1"/>
  <c r="W43"/>
  <c r="S43"/>
  <c r="T43"/>
  <c r="AJ43"/>
  <c r="AK43"/>
  <c r="AL43"/>
  <c r="AM43"/>
  <c r="AN43"/>
  <c r="AO43"/>
  <c r="AQ43"/>
  <c r="AS43"/>
  <c r="AU43"/>
  <c r="AU48" s="1"/>
  <c r="BC43"/>
  <c r="BD43"/>
  <c r="BE43"/>
  <c r="I44"/>
  <c r="R44"/>
  <c r="S44"/>
  <c r="T44"/>
  <c r="AK44"/>
  <c r="AL44"/>
  <c r="AM44"/>
  <c r="AN44"/>
  <c r="AO44"/>
  <c r="BC44"/>
  <c r="BE44"/>
  <c r="BD44" s="1"/>
  <c r="I45"/>
  <c r="R45"/>
  <c r="S45"/>
  <c r="T45"/>
  <c r="BE45"/>
  <c r="I46"/>
  <c r="R46"/>
  <c r="W46" s="1"/>
  <c r="S46"/>
  <c r="T46"/>
  <c r="BE46"/>
  <c r="O48"/>
  <c r="P48"/>
  <c r="Q48"/>
  <c r="U48"/>
  <c r="V48"/>
  <c r="X48"/>
  <c r="Y48"/>
  <c r="Z48"/>
  <c r="AA48"/>
  <c r="AB48"/>
  <c r="AC48"/>
  <c r="AD48"/>
  <c r="AE48"/>
  <c r="AF48"/>
  <c r="AG48"/>
  <c r="AH48"/>
  <c r="AI48"/>
  <c r="AP48"/>
  <c r="AR48"/>
  <c r="AT48"/>
  <c r="AV48"/>
  <c r="AW48"/>
  <c r="AX48"/>
  <c r="AY48"/>
  <c r="AZ48"/>
  <c r="BA48"/>
  <c r="BB48"/>
  <c r="BF48"/>
  <c r="BG48"/>
  <c r="BH48"/>
  <c r="BI48"/>
  <c r="CE48"/>
  <c r="BH2" i="21"/>
  <c r="BH3"/>
  <c r="BH4"/>
  <c r="BH5"/>
  <c r="BH6"/>
  <c r="BH7"/>
  <c r="BE8"/>
  <c r="BF8"/>
  <c r="BG8"/>
  <c r="BH9"/>
  <c r="BI9" s="1"/>
  <c r="BH10"/>
  <c r="BI10" s="1"/>
  <c r="BH11"/>
  <c r="BI11" s="1"/>
  <c r="BH12"/>
  <c r="BI12" s="1"/>
  <c r="BH13"/>
  <c r="BI13" s="1"/>
  <c r="BH14"/>
  <c r="BI14" s="1"/>
  <c r="BH15"/>
  <c r="BI15" s="1"/>
  <c r="I20"/>
  <c r="S20"/>
  <c r="U20"/>
  <c r="V20"/>
  <c r="AL20"/>
  <c r="AM20"/>
  <c r="AN20"/>
  <c r="AO20"/>
  <c r="AQ20"/>
  <c r="AS20"/>
  <c r="AU20"/>
  <c r="AU51" s="1"/>
  <c r="BB20"/>
  <c r="BD20"/>
  <c r="I21"/>
  <c r="S21"/>
  <c r="U21"/>
  <c r="V21"/>
  <c r="AQ21"/>
  <c r="AS21"/>
  <c r="AU21"/>
  <c r="BB21"/>
  <c r="BD21"/>
  <c r="BC21" s="1"/>
  <c r="I22"/>
  <c r="S22"/>
  <c r="W22" s="1"/>
  <c r="U22"/>
  <c r="V22"/>
  <c r="AQ22"/>
  <c r="AS22"/>
  <c r="AU22"/>
  <c r="BD22"/>
  <c r="BC22"/>
  <c r="I23"/>
  <c r="S23"/>
  <c r="U23"/>
  <c r="V23"/>
  <c r="AL23"/>
  <c r="AM23"/>
  <c r="AN23"/>
  <c r="AO23"/>
  <c r="AQ23"/>
  <c r="AS23"/>
  <c r="AU23"/>
  <c r="BB23"/>
  <c r="BC23"/>
  <c r="BD23"/>
  <c r="I24"/>
  <c r="I51" s="1"/>
  <c r="S24"/>
  <c r="U24"/>
  <c r="V24"/>
  <c r="AL24"/>
  <c r="AM24"/>
  <c r="AN24"/>
  <c r="AO24"/>
  <c r="AQ24"/>
  <c r="AS24"/>
  <c r="AU24"/>
  <c r="BD24"/>
  <c r="BC24"/>
  <c r="I25"/>
  <c r="S25"/>
  <c r="W25"/>
  <c r="U25"/>
  <c r="V25"/>
  <c r="AJ25"/>
  <c r="AQ25"/>
  <c r="AS25"/>
  <c r="AU25"/>
  <c r="BB25"/>
  <c r="BC25"/>
  <c r="BD25"/>
  <c r="I26"/>
  <c r="S26"/>
  <c r="U26"/>
  <c r="V26"/>
  <c r="AQ26"/>
  <c r="AS26"/>
  <c r="AU26"/>
  <c r="BB26"/>
  <c r="BD26"/>
  <c r="BC26" s="1"/>
  <c r="I27"/>
  <c r="S27"/>
  <c r="U27"/>
  <c r="V27"/>
  <c r="BD27"/>
  <c r="I28"/>
  <c r="S28"/>
  <c r="U28"/>
  <c r="V28"/>
  <c r="AL28"/>
  <c r="AM28"/>
  <c r="AN28"/>
  <c r="AO28"/>
  <c r="AS28"/>
  <c r="AU28"/>
  <c r="BD28"/>
  <c r="BC28" s="1"/>
  <c r="I29"/>
  <c r="S29"/>
  <c r="W29"/>
  <c r="U29"/>
  <c r="V29"/>
  <c r="AL29"/>
  <c r="AS29"/>
  <c r="AU29"/>
  <c r="BB29"/>
  <c r="BB51" s="1"/>
  <c r="BD29"/>
  <c r="BC29"/>
  <c r="I30"/>
  <c r="S30"/>
  <c r="U30"/>
  <c r="V30"/>
  <c r="AS30"/>
  <c r="AU30"/>
  <c r="BD30"/>
  <c r="BC30" s="1"/>
  <c r="I31"/>
  <c r="S31"/>
  <c r="W31"/>
  <c r="U31"/>
  <c r="V31"/>
  <c r="AL31"/>
  <c r="AM31"/>
  <c r="AN31"/>
  <c r="AS31"/>
  <c r="AU31"/>
  <c r="BB31"/>
  <c r="BC31" s="1"/>
  <c r="BD31"/>
  <c r="I32"/>
  <c r="S32"/>
  <c r="U32"/>
  <c r="V32"/>
  <c r="AL32"/>
  <c r="AM32"/>
  <c r="AN32"/>
  <c r="AO32"/>
  <c r="AS32"/>
  <c r="AU32"/>
  <c r="BB32"/>
  <c r="BC32"/>
  <c r="BD32"/>
  <c r="I33"/>
  <c r="S33"/>
  <c r="U33"/>
  <c r="V33"/>
  <c r="AL33"/>
  <c r="AM33"/>
  <c r="AN33"/>
  <c r="AO33"/>
  <c r="AS33"/>
  <c r="AU33"/>
  <c r="BB33"/>
  <c r="BD33"/>
  <c r="BC33"/>
  <c r="I34"/>
  <c r="S34"/>
  <c r="U34"/>
  <c r="V34"/>
  <c r="AL34"/>
  <c r="AM34"/>
  <c r="AN34"/>
  <c r="AO34"/>
  <c r="AS34"/>
  <c r="AU34"/>
  <c r="BD34"/>
  <c r="BC34"/>
  <c r="I35"/>
  <c r="S35"/>
  <c r="U35"/>
  <c r="W35"/>
  <c r="V35"/>
  <c r="AL35"/>
  <c r="AM35"/>
  <c r="AN35"/>
  <c r="AN52" s="1"/>
  <c r="AO35"/>
  <c r="AS35"/>
  <c r="AU35"/>
  <c r="BB35"/>
  <c r="BD35"/>
  <c r="I36"/>
  <c r="S36"/>
  <c r="U36"/>
  <c r="V36"/>
  <c r="AL36"/>
  <c r="AM36"/>
  <c r="AN36"/>
  <c r="AO36"/>
  <c r="AS36"/>
  <c r="AU36"/>
  <c r="BB36"/>
  <c r="BC36"/>
  <c r="BD36"/>
  <c r="I37"/>
  <c r="S37"/>
  <c r="U37"/>
  <c r="V37"/>
  <c r="I38"/>
  <c r="S38"/>
  <c r="U38"/>
  <c r="V38"/>
  <c r="AL38"/>
  <c r="AM38"/>
  <c r="AN38"/>
  <c r="AO38"/>
  <c r="AQ38"/>
  <c r="AS38"/>
  <c r="AU38"/>
  <c r="BB38"/>
  <c r="BD38"/>
  <c r="BC38" s="1"/>
  <c r="I39"/>
  <c r="S39"/>
  <c r="U39"/>
  <c r="V39"/>
  <c r="AJ39"/>
  <c r="AJ52" s="1"/>
  <c r="AQ39"/>
  <c r="AS39"/>
  <c r="AU39"/>
  <c r="BB39"/>
  <c r="BD39"/>
  <c r="BC39" s="1"/>
  <c r="I40"/>
  <c r="S40"/>
  <c r="U40"/>
  <c r="V40"/>
  <c r="AQ40"/>
  <c r="AS40"/>
  <c r="AU40"/>
  <c r="BB40"/>
  <c r="BD40"/>
  <c r="I41"/>
  <c r="S41"/>
  <c r="U41"/>
  <c r="V41"/>
  <c r="AQ41"/>
  <c r="AS41"/>
  <c r="AU41"/>
  <c r="BD41"/>
  <c r="BC41" s="1"/>
  <c r="I42"/>
  <c r="S42"/>
  <c r="U42"/>
  <c r="V42"/>
  <c r="AL42"/>
  <c r="AM42"/>
  <c r="AN42"/>
  <c r="AO42"/>
  <c r="AQ42"/>
  <c r="AS42"/>
  <c r="AU42"/>
  <c r="BD42"/>
  <c r="BC42"/>
  <c r="I43"/>
  <c r="S43"/>
  <c r="W43" s="1"/>
  <c r="U43"/>
  <c r="V43"/>
  <c r="AL43"/>
  <c r="AM43"/>
  <c r="AN43"/>
  <c r="AO43"/>
  <c r="AQ43"/>
  <c r="AS43"/>
  <c r="AU43"/>
  <c r="BB43"/>
  <c r="BD43"/>
  <c r="BC43" s="1"/>
  <c r="I44"/>
  <c r="S44"/>
  <c r="T44"/>
  <c r="T51" s="1"/>
  <c r="U44"/>
  <c r="V44"/>
  <c r="AL44"/>
  <c r="AM44"/>
  <c r="AN44"/>
  <c r="AO44"/>
  <c r="AQ44"/>
  <c r="AS44"/>
  <c r="AU44"/>
  <c r="BB44"/>
  <c r="BD44"/>
  <c r="BC44" s="1"/>
  <c r="I45"/>
  <c r="S45"/>
  <c r="U45"/>
  <c r="V45"/>
  <c r="W45" s="1"/>
  <c r="AQ45"/>
  <c r="AS45"/>
  <c r="AU45"/>
  <c r="BD45"/>
  <c r="BC45" s="1"/>
  <c r="I46"/>
  <c r="S46"/>
  <c r="W46"/>
  <c r="U46"/>
  <c r="V46"/>
  <c r="AQ46"/>
  <c r="AS46"/>
  <c r="AU46"/>
  <c r="BD46"/>
  <c r="BC46" s="1"/>
  <c r="BG46"/>
  <c r="BG51" s="1"/>
  <c r="I47"/>
  <c r="S47"/>
  <c r="U47"/>
  <c r="V47"/>
  <c r="AQ47"/>
  <c r="AS47"/>
  <c r="AU47"/>
  <c r="BD47"/>
  <c r="BC47"/>
  <c r="I48"/>
  <c r="S48"/>
  <c r="W48" s="1"/>
  <c r="U48"/>
  <c r="V48"/>
  <c r="AQ48"/>
  <c r="AS48"/>
  <c r="AU48"/>
  <c r="BD48"/>
  <c r="I49"/>
  <c r="S49"/>
  <c r="U49"/>
  <c r="V49"/>
  <c r="AQ49"/>
  <c r="AS49"/>
  <c r="AU49"/>
  <c r="BD49"/>
  <c r="BC49"/>
  <c r="I50"/>
  <c r="S50"/>
  <c r="W50" s="1"/>
  <c r="BI50" s="1"/>
  <c r="U50"/>
  <c r="V50"/>
  <c r="AJ50"/>
  <c r="AQ50"/>
  <c r="AS50"/>
  <c r="AU50"/>
  <c r="BD50"/>
  <c r="BC50" s="1"/>
  <c r="O51"/>
  <c r="P51"/>
  <c r="Q51"/>
  <c r="R51"/>
  <c r="X51"/>
  <c r="Y51"/>
  <c r="Z51"/>
  <c r="AA51"/>
  <c r="AB51"/>
  <c r="AC51"/>
  <c r="AD51"/>
  <c r="AE51"/>
  <c r="AF51"/>
  <c r="AG51"/>
  <c r="AH51"/>
  <c r="AI51"/>
  <c r="AP51"/>
  <c r="AR51"/>
  <c r="AT51"/>
  <c r="AV51"/>
  <c r="AW51"/>
  <c r="AX51"/>
  <c r="AY51"/>
  <c r="AZ51"/>
  <c r="BA51"/>
  <c r="BE51"/>
  <c r="BF51"/>
  <c r="R52"/>
  <c r="V52"/>
  <c r="S52"/>
  <c r="X52"/>
  <c r="AA52"/>
  <c r="AD52"/>
  <c r="AE52"/>
  <c r="AF52"/>
  <c r="AG52"/>
  <c r="AH52"/>
  <c r="AI52"/>
  <c r="AK52"/>
  <c r="AP52"/>
  <c r="AR52"/>
  <c r="BF3" i="22"/>
  <c r="BF4"/>
  <c r="BF5"/>
  <c r="BF6"/>
  <c r="BF7"/>
  <c r="BF8"/>
  <c r="R13"/>
  <c r="S13"/>
  <c r="T13"/>
  <c r="AH13"/>
  <c r="AI13"/>
  <c r="AJ13"/>
  <c r="AK13"/>
  <c r="AL13"/>
  <c r="AM13"/>
  <c r="R14"/>
  <c r="S14"/>
  <c r="T14"/>
  <c r="AH14"/>
  <c r="AI14"/>
  <c r="AJ14"/>
  <c r="AK14"/>
  <c r="AL14"/>
  <c r="AM14"/>
  <c r="AO14"/>
  <c r="AQ14"/>
  <c r="AS14"/>
  <c r="AT14"/>
  <c r="AU14"/>
  <c r="AV14"/>
  <c r="AW14"/>
  <c r="AX14"/>
  <c r="AY14"/>
  <c r="BD14"/>
  <c r="R15"/>
  <c r="S15"/>
  <c r="T15"/>
  <c r="AJ15"/>
  <c r="AL15"/>
  <c r="BB15"/>
  <c r="I16"/>
  <c r="L16"/>
  <c r="T16" s="1"/>
  <c r="AJ16"/>
  <c r="BB16"/>
  <c r="I17"/>
  <c r="R17"/>
  <c r="S17"/>
  <c r="T17"/>
  <c r="AZ17"/>
  <c r="BB17"/>
  <c r="BA17"/>
  <c r="I18"/>
  <c r="L18"/>
  <c r="T18" s="1"/>
  <c r="S18"/>
  <c r="AJ18"/>
  <c r="AK18"/>
  <c r="AL18"/>
  <c r="AM18"/>
  <c r="AZ18"/>
  <c r="BB18"/>
  <c r="BE18"/>
  <c r="BE45" s="1"/>
  <c r="I19"/>
  <c r="L19"/>
  <c r="R19"/>
  <c r="AH19"/>
  <c r="AZ19"/>
  <c r="BB19"/>
  <c r="BA19" s="1"/>
  <c r="I20"/>
  <c r="L20"/>
  <c r="S20" s="1"/>
  <c r="AH20"/>
  <c r="AJ20"/>
  <c r="AK20"/>
  <c r="AL20"/>
  <c r="AM20"/>
  <c r="AM45" s="1"/>
  <c r="AZ20"/>
  <c r="BB20"/>
  <c r="BA20" s="1"/>
  <c r="I21"/>
  <c r="R21"/>
  <c r="S21"/>
  <c r="T21"/>
  <c r="BB21"/>
  <c r="BA21"/>
  <c r="I22"/>
  <c r="L22"/>
  <c r="R22" s="1"/>
  <c r="AH22"/>
  <c r="AZ22"/>
  <c r="BB22"/>
  <c r="BA22" s="1"/>
  <c r="I23"/>
  <c r="L23"/>
  <c r="R23"/>
  <c r="T23"/>
  <c r="AH23"/>
  <c r="AJ23"/>
  <c r="AK23"/>
  <c r="AK45" s="1"/>
  <c r="AL23"/>
  <c r="AM23"/>
  <c r="AQ23"/>
  <c r="AQ45"/>
  <c r="AZ23"/>
  <c r="BB23"/>
  <c r="I24"/>
  <c r="R24"/>
  <c r="U24" s="1"/>
  <c r="S24"/>
  <c r="T24"/>
  <c r="AJ24"/>
  <c r="AK24"/>
  <c r="AL24"/>
  <c r="AM24"/>
  <c r="AZ24"/>
  <c r="BA24" s="1"/>
  <c r="BB24"/>
  <c r="I25"/>
  <c r="L25"/>
  <c r="R25"/>
  <c r="AJ25"/>
  <c r="AK25"/>
  <c r="AL25"/>
  <c r="AM25"/>
  <c r="AZ25"/>
  <c r="BB25"/>
  <c r="BA25" s="1"/>
  <c r="I26"/>
  <c r="L26"/>
  <c r="R26"/>
  <c r="S26"/>
  <c r="AJ26"/>
  <c r="AK26"/>
  <c r="AL26"/>
  <c r="AL45" s="1"/>
  <c r="AM26"/>
  <c r="BB26"/>
  <c r="BA26" s="1"/>
  <c r="AZ26"/>
  <c r="I27"/>
  <c r="L27"/>
  <c r="T27" s="1"/>
  <c r="BB27"/>
  <c r="I28"/>
  <c r="L28"/>
  <c r="AJ28"/>
  <c r="AK28"/>
  <c r="AL28"/>
  <c r="AM28"/>
  <c r="AZ28"/>
  <c r="BA28"/>
  <c r="BB28"/>
  <c r="I29"/>
  <c r="L29"/>
  <c r="AJ29"/>
  <c r="AK29"/>
  <c r="AL29"/>
  <c r="AZ29"/>
  <c r="BB29"/>
  <c r="I30"/>
  <c r="L30"/>
  <c r="T30"/>
  <c r="AH30"/>
  <c r="AI30"/>
  <c r="AI45" s="1"/>
  <c r="AJ30"/>
  <c r="AK30"/>
  <c r="AL30"/>
  <c r="AM30"/>
  <c r="AO30"/>
  <c r="AO45" s="1"/>
  <c r="AQ30"/>
  <c r="BB30"/>
  <c r="BA30"/>
  <c r="I31"/>
  <c r="L31"/>
  <c r="S31" s="1"/>
  <c r="AH31"/>
  <c r="AZ31"/>
  <c r="BB31"/>
  <c r="BA31" s="1"/>
  <c r="I32"/>
  <c r="I45" s="1"/>
  <c r="L32"/>
  <c r="S32" s="1"/>
  <c r="T32"/>
  <c r="AZ32"/>
  <c r="BA32" s="1"/>
  <c r="BB32"/>
  <c r="I33"/>
  <c r="L33"/>
  <c r="T33" s="1"/>
  <c r="BB33"/>
  <c r="BA33" s="1"/>
  <c r="I34"/>
  <c r="L34"/>
  <c r="T34"/>
  <c r="AJ34"/>
  <c r="BB34"/>
  <c r="BA34" s="1"/>
  <c r="I35"/>
  <c r="L35"/>
  <c r="S35"/>
  <c r="R35"/>
  <c r="AZ35"/>
  <c r="BB35"/>
  <c r="BA35" s="1"/>
  <c r="I36"/>
  <c r="R36"/>
  <c r="S36"/>
  <c r="T36"/>
  <c r="BB36"/>
  <c r="BA36" s="1"/>
  <c r="I37"/>
  <c r="L37"/>
  <c r="AJ37"/>
  <c r="AL37"/>
  <c r="AQ37"/>
  <c r="AS37"/>
  <c r="AS45"/>
  <c r="AZ37"/>
  <c r="BB37"/>
  <c r="BA37" s="1"/>
  <c r="I38"/>
  <c r="R38"/>
  <c r="S38"/>
  <c r="T38"/>
  <c r="U38"/>
  <c r="AH38"/>
  <c r="AJ38"/>
  <c r="AK38"/>
  <c r="AL38"/>
  <c r="AM38"/>
  <c r="BB38"/>
  <c r="BA38" s="1"/>
  <c r="I39"/>
  <c r="L39"/>
  <c r="S39"/>
  <c r="AJ39"/>
  <c r="AL39"/>
  <c r="AZ39"/>
  <c r="BB39"/>
  <c r="BA39" s="1"/>
  <c r="I40"/>
  <c r="L40"/>
  <c r="T40"/>
  <c r="AJ40"/>
  <c r="AL40"/>
  <c r="AZ40"/>
  <c r="BB40"/>
  <c r="BA40" s="1"/>
  <c r="I41"/>
  <c r="R41"/>
  <c r="S41"/>
  <c r="T41"/>
  <c r="AJ41"/>
  <c r="AL41"/>
  <c r="BB41"/>
  <c r="BA41" s="1"/>
  <c r="I42"/>
  <c r="R42"/>
  <c r="S42"/>
  <c r="U42"/>
  <c r="BF42" s="1"/>
  <c r="AJ42"/>
  <c r="BB42"/>
  <c r="BA42" s="1"/>
  <c r="I43"/>
  <c r="R43"/>
  <c r="S43"/>
  <c r="AJ43"/>
  <c r="BA43"/>
  <c r="BB43"/>
  <c r="I44"/>
  <c r="L44"/>
  <c r="AJ44"/>
  <c r="AL44"/>
  <c r="BB44"/>
  <c r="BA44" s="1"/>
  <c r="O45"/>
  <c r="P45"/>
  <c r="Q45"/>
  <c r="V45"/>
  <c r="W45"/>
  <c r="X45"/>
  <c r="Y45"/>
  <c r="Z45"/>
  <c r="AA45"/>
  <c r="AB45"/>
  <c r="AC45"/>
  <c r="AD45"/>
  <c r="AE45"/>
  <c r="AF45"/>
  <c r="AG45"/>
  <c r="AN45"/>
  <c r="AP45"/>
  <c r="AR45"/>
  <c r="AT45"/>
  <c r="AU45"/>
  <c r="AV45"/>
  <c r="AW45"/>
  <c r="AX45"/>
  <c r="AY45"/>
  <c r="BC45"/>
  <c r="BD45"/>
  <c r="R64"/>
  <c r="S64"/>
  <c r="T64"/>
  <c r="AH64"/>
  <c r="AI64"/>
  <c r="AJ64"/>
  <c r="AK64"/>
  <c r="AL64"/>
  <c r="AM64"/>
  <c r="R65"/>
  <c r="S65"/>
  <c r="T65"/>
  <c r="AH65"/>
  <c r="AI65"/>
  <c r="AJ65"/>
  <c r="AK65"/>
  <c r="AL65"/>
  <c r="AM65"/>
  <c r="AO65"/>
  <c r="AQ65"/>
  <c r="AS65"/>
  <c r="AT65"/>
  <c r="AU65"/>
  <c r="AV65"/>
  <c r="AW65"/>
  <c r="AX65"/>
  <c r="AY65"/>
  <c r="BD65"/>
  <c r="I66"/>
  <c r="L66"/>
  <c r="T66"/>
  <c r="AJ66"/>
  <c r="AL66"/>
  <c r="BB66"/>
  <c r="I67"/>
  <c r="L67"/>
  <c r="R67"/>
  <c r="U67" s="1"/>
  <c r="T67"/>
  <c r="S67"/>
  <c r="AJ67"/>
  <c r="AL67"/>
  <c r="BB67"/>
  <c r="BF2" i="2"/>
  <c r="BF3"/>
  <c r="BF6"/>
  <c r="BD9"/>
  <c r="BD8" s="1"/>
  <c r="BF8" s="1"/>
  <c r="BF10"/>
  <c r="BF11"/>
  <c r="BF12"/>
  <c r="BF13"/>
  <c r="BF14"/>
  <c r="BF15"/>
  <c r="S22"/>
  <c r="T22"/>
  <c r="U22"/>
  <c r="V22" s="1"/>
  <c r="AI22"/>
  <c r="AJ22"/>
  <c r="AK22"/>
  <c r="AL22"/>
  <c r="AM22"/>
  <c r="AN22"/>
  <c r="J24"/>
  <c r="S24"/>
  <c r="V24" s="1"/>
  <c r="T24"/>
  <c r="BG24" s="1"/>
  <c r="U24"/>
  <c r="AI24"/>
  <c r="AJ24"/>
  <c r="AK24"/>
  <c r="AL24"/>
  <c r="AM24"/>
  <c r="AN24"/>
  <c r="BC24"/>
  <c r="J25"/>
  <c r="S25"/>
  <c r="T25"/>
  <c r="U25"/>
  <c r="AI25"/>
  <c r="AJ25"/>
  <c r="AK25"/>
  <c r="AL25"/>
  <c r="AM25"/>
  <c r="AN25"/>
  <c r="BC25"/>
  <c r="BB25" s="1"/>
  <c r="BA25"/>
  <c r="BA48" s="1"/>
  <c r="J26"/>
  <c r="S26"/>
  <c r="T26"/>
  <c r="U26"/>
  <c r="V26" s="1"/>
  <c r="AI26"/>
  <c r="AK26"/>
  <c r="AL26"/>
  <c r="AM26"/>
  <c r="AN26"/>
  <c r="BA26"/>
  <c r="BC26"/>
  <c r="BB26"/>
  <c r="J27"/>
  <c r="S27"/>
  <c r="T27"/>
  <c r="U27"/>
  <c r="AJ27"/>
  <c r="AL27"/>
  <c r="J29"/>
  <c r="S29"/>
  <c r="T29"/>
  <c r="U29"/>
  <c r="AJ29"/>
  <c r="AK29"/>
  <c r="AL29"/>
  <c r="AM29"/>
  <c r="AN29"/>
  <c r="BA29"/>
  <c r="BB29" s="1"/>
  <c r="BC29"/>
  <c r="J30"/>
  <c r="S30"/>
  <c r="V30" s="1"/>
  <c r="T30"/>
  <c r="U30"/>
  <c r="AJ30"/>
  <c r="AK30"/>
  <c r="AL30"/>
  <c r="AM30"/>
  <c r="AN30"/>
  <c r="BC30"/>
  <c r="BB30"/>
  <c r="J31"/>
  <c r="S31"/>
  <c r="T31"/>
  <c r="U31"/>
  <c r="AJ31"/>
  <c r="AK31"/>
  <c r="AL31"/>
  <c r="AM31"/>
  <c r="AN31"/>
  <c r="BC31"/>
  <c r="BB31" s="1"/>
  <c r="BF31"/>
  <c r="BF48" s="1"/>
  <c r="J33"/>
  <c r="S33"/>
  <c r="T33"/>
  <c r="V33" s="1"/>
  <c r="U33"/>
  <c r="AJ33"/>
  <c r="AK33"/>
  <c r="AL33"/>
  <c r="AM33"/>
  <c r="AN33"/>
  <c r="BA33"/>
  <c r="BC33"/>
  <c r="BB33" s="1"/>
  <c r="J34"/>
  <c r="S34"/>
  <c r="T34"/>
  <c r="V34" s="1"/>
  <c r="U34"/>
  <c r="AJ34"/>
  <c r="AK34"/>
  <c r="AL34"/>
  <c r="AM34"/>
  <c r="AN34"/>
  <c r="AP34"/>
  <c r="AR34"/>
  <c r="BC34"/>
  <c r="BB34"/>
  <c r="J35"/>
  <c r="S35"/>
  <c r="T35"/>
  <c r="U35"/>
  <c r="AJ35"/>
  <c r="AK35"/>
  <c r="AL35"/>
  <c r="AM35"/>
  <c r="AN35"/>
  <c r="AP35"/>
  <c r="AR35"/>
  <c r="BC35"/>
  <c r="BB35" s="1"/>
  <c r="J36"/>
  <c r="S36"/>
  <c r="T36"/>
  <c r="U36"/>
  <c r="V36"/>
  <c r="AI36"/>
  <c r="AJ36"/>
  <c r="AK36"/>
  <c r="AL36"/>
  <c r="AM36"/>
  <c r="AN36"/>
  <c r="AP36"/>
  <c r="AR36"/>
  <c r="AT36"/>
  <c r="BA36"/>
  <c r="BC36"/>
  <c r="BB36" s="1"/>
  <c r="J37"/>
  <c r="S37"/>
  <c r="V37" s="1"/>
  <c r="T37"/>
  <c r="BI37" s="1"/>
  <c r="U37"/>
  <c r="AJ37"/>
  <c r="AK37"/>
  <c r="AL37"/>
  <c r="AM37"/>
  <c r="AN37"/>
  <c r="AT37"/>
  <c r="BA37"/>
  <c r="BB37"/>
  <c r="BC37"/>
  <c r="J38"/>
  <c r="S38"/>
  <c r="T38"/>
  <c r="U38"/>
  <c r="AJ38"/>
  <c r="AL38"/>
  <c r="AT38"/>
  <c r="BA38"/>
  <c r="BC38"/>
  <c r="BD38"/>
  <c r="BD48"/>
  <c r="J39"/>
  <c r="S39"/>
  <c r="T39"/>
  <c r="U39"/>
  <c r="AJ39"/>
  <c r="AT39"/>
  <c r="BC39"/>
  <c r="BB39"/>
  <c r="J40"/>
  <c r="S40"/>
  <c r="V40" s="1"/>
  <c r="T40"/>
  <c r="U40"/>
  <c r="AJ40"/>
  <c r="AK40"/>
  <c r="AL40"/>
  <c r="AM40"/>
  <c r="AN40"/>
  <c r="AT40"/>
  <c r="BA40"/>
  <c r="BC40"/>
  <c r="BB40" s="1"/>
  <c r="J41"/>
  <c r="T41"/>
  <c r="U41"/>
  <c r="AI41"/>
  <c r="AJ41"/>
  <c r="AR41"/>
  <c r="AT41"/>
  <c r="BC41"/>
  <c r="BB41" s="1"/>
  <c r="J42"/>
  <c r="S42"/>
  <c r="T42"/>
  <c r="U42"/>
  <c r="AI42"/>
  <c r="AJ42"/>
  <c r="AK42"/>
  <c r="AK48" s="1"/>
  <c r="AL42"/>
  <c r="AN42"/>
  <c r="AR42"/>
  <c r="AT42"/>
  <c r="BC42"/>
  <c r="BB42"/>
  <c r="J43"/>
  <c r="S43"/>
  <c r="T43"/>
  <c r="U43"/>
  <c r="AI43"/>
  <c r="AJ43"/>
  <c r="AK43"/>
  <c r="AL43"/>
  <c r="AN43"/>
  <c r="AP43"/>
  <c r="AP48" s="1"/>
  <c r="AR43"/>
  <c r="AT43"/>
  <c r="BC43"/>
  <c r="BB43"/>
  <c r="J44"/>
  <c r="S44"/>
  <c r="T44"/>
  <c r="U44"/>
  <c r="V44"/>
  <c r="AI44"/>
  <c r="AK44"/>
  <c r="AL44"/>
  <c r="AM44"/>
  <c r="AN44"/>
  <c r="AR44"/>
  <c r="AT44"/>
  <c r="BC44"/>
  <c r="BB44" s="1"/>
  <c r="J45"/>
  <c r="S45"/>
  <c r="T45"/>
  <c r="U45"/>
  <c r="AI45"/>
  <c r="AK45"/>
  <c r="AL45"/>
  <c r="AM45"/>
  <c r="AN45"/>
  <c r="BA45"/>
  <c r="BC45"/>
  <c r="P48"/>
  <c r="W48"/>
  <c r="X48"/>
  <c r="Y48"/>
  <c r="Z48"/>
  <c r="AA48"/>
  <c r="AB48"/>
  <c r="AC48"/>
  <c r="AD48"/>
  <c r="AE48"/>
  <c r="AF48"/>
  <c r="AG48"/>
  <c r="AH48"/>
  <c r="AO48"/>
  <c r="AQ48"/>
  <c r="AS48"/>
  <c r="AU48"/>
  <c r="AV48"/>
  <c r="AW48"/>
  <c r="AX48"/>
  <c r="AY48"/>
  <c r="AZ48"/>
  <c r="BE48"/>
  <c r="T44" i="22"/>
  <c r="T35"/>
  <c r="T31"/>
  <c r="T26"/>
  <c r="T25"/>
  <c r="BD34" i="26"/>
  <c r="BD33"/>
  <c r="W30"/>
  <c r="BK30" s="1"/>
  <c r="W26"/>
  <c r="T39" i="22"/>
  <c r="R39"/>
  <c r="R33"/>
  <c r="S27"/>
  <c r="AM52" i="21"/>
  <c r="BH32" i="2"/>
  <c r="BI32"/>
  <c r="BA18" i="22"/>
  <c r="U43"/>
  <c r="BG43" s="1"/>
  <c r="R34"/>
  <c r="BA23"/>
  <c r="S19"/>
  <c r="U19" s="1"/>
  <c r="T19"/>
  <c r="BB45"/>
  <c r="W49" i="21"/>
  <c r="BC40"/>
  <c r="S22" i="22"/>
  <c r="T20"/>
  <c r="T29"/>
  <c r="R29"/>
  <c r="U29" s="1"/>
  <c r="BG29" s="1"/>
  <c r="S29"/>
  <c r="W39" i="26"/>
  <c r="BJ39" s="1"/>
  <c r="W35"/>
  <c r="BJ35" s="1"/>
  <c r="BL35"/>
  <c r="W22"/>
  <c r="W24" i="21"/>
  <c r="BI24" s="1"/>
  <c r="W27" i="26"/>
  <c r="W47"/>
  <c r="BK47"/>
  <c r="BI25" i="21"/>
  <c r="BA29" i="22"/>
  <c r="U51" i="21"/>
  <c r="BI46" i="2"/>
  <c r="BH31" i="21"/>
  <c r="U15" i="22"/>
  <c r="W32" i="26"/>
  <c r="V41" i="2"/>
  <c r="T48"/>
  <c r="S30" i="22"/>
  <c r="R30"/>
  <c r="U30" s="1"/>
  <c r="BG30"/>
  <c r="W39" i="21"/>
  <c r="BH39" s="1"/>
  <c r="BH25"/>
  <c r="BJ25"/>
  <c r="W44" i="26"/>
  <c r="W31"/>
  <c r="J48" i="2"/>
  <c r="BI31" i="21"/>
  <c r="BJ31" s="1"/>
  <c r="W28"/>
  <c r="BI28"/>
  <c r="BE48" i="26"/>
  <c r="R27" i="22"/>
  <c r="R18"/>
  <c r="U18"/>
  <c r="R16"/>
  <c r="BC23" i="26"/>
  <c r="BC48"/>
  <c r="BH35" i="21"/>
  <c r="S44" i="22"/>
  <c r="R44"/>
  <c r="S37"/>
  <c r="R37"/>
  <c r="W38" i="21"/>
  <c r="BH38"/>
  <c r="BI38"/>
  <c r="W33"/>
  <c r="BH33"/>
  <c r="BJ33" s="1"/>
  <c r="BI33"/>
  <c r="W27"/>
  <c r="BH27"/>
  <c r="BC20"/>
  <c r="BD51"/>
  <c r="W34" i="26"/>
  <c r="BJ34"/>
  <c r="BK34"/>
  <c r="W33"/>
  <c r="BJ33"/>
  <c r="BL33" s="1"/>
  <c r="BK33"/>
  <c r="BG40" i="2"/>
  <c r="U41" i="22"/>
  <c r="BF41" s="1"/>
  <c r="AZ27"/>
  <c r="BA27"/>
  <c r="U17"/>
  <c r="BG17"/>
  <c r="W47" i="21"/>
  <c r="BI47" s="1"/>
  <c r="W42"/>
  <c r="W37"/>
  <c r="BI37" s="1"/>
  <c r="W34"/>
  <c r="BH34" s="1"/>
  <c r="W32"/>
  <c r="BI32" s="1"/>
  <c r="W20"/>
  <c r="S51"/>
  <c r="W45" i="26"/>
  <c r="BJ45" s="1"/>
  <c r="BJ22"/>
  <c r="R48"/>
  <c r="AT48" i="2"/>
  <c r="BH34"/>
  <c r="AL48"/>
  <c r="BI30"/>
  <c r="AH45" i="22"/>
  <c r="V51" i="21"/>
  <c r="AN48" i="26"/>
  <c r="AK48"/>
  <c r="W44" i="21"/>
  <c r="BH44"/>
  <c r="T37" i="22"/>
  <c r="BI27" i="21"/>
  <c r="T22" i="22"/>
  <c r="BF38"/>
  <c r="U21"/>
  <c r="AJ51" i="21"/>
  <c r="BI49"/>
  <c r="BC35"/>
  <c r="BI35" s="1"/>
  <c r="BJ35" s="1"/>
  <c r="AO52"/>
  <c r="AS51"/>
  <c r="AM51"/>
  <c r="BD25" i="26"/>
  <c r="I48"/>
  <c r="V31" i="2"/>
  <c r="BI31" s="1"/>
  <c r="V27"/>
  <c r="BH27" s="1"/>
  <c r="BI27"/>
  <c r="BL27"/>
  <c r="V25"/>
  <c r="BH25"/>
  <c r="S48"/>
  <c r="BH50" i="21"/>
  <c r="W40"/>
  <c r="BI40" s="1"/>
  <c r="W30"/>
  <c r="BI30" s="1"/>
  <c r="W26"/>
  <c r="BI26"/>
  <c r="W37" i="26"/>
  <c r="BJ37" s="1"/>
  <c r="V42" i="2"/>
  <c r="BI42" s="1"/>
  <c r="BL42" s="1"/>
  <c r="V35"/>
  <c r="BH35" s="1"/>
  <c r="BL35" s="1"/>
  <c r="T28" i="22"/>
  <c r="S28"/>
  <c r="R28"/>
  <c r="W36" i="21"/>
  <c r="BI36" s="1"/>
  <c r="AL52"/>
  <c r="AL51"/>
  <c r="BH22"/>
  <c r="BI22"/>
  <c r="W21"/>
  <c r="BI21"/>
  <c r="W41" i="26"/>
  <c r="BJ41" s="1"/>
  <c r="BL41" s="1"/>
  <c r="W28"/>
  <c r="BK28" s="1"/>
  <c r="BJ26"/>
  <c r="BL26" s="1"/>
  <c r="S48"/>
  <c r="W24"/>
  <c r="BK24"/>
  <c r="BJ24"/>
  <c r="BL24" s="1"/>
  <c r="BF19" i="22"/>
  <c r="BH19" s="1"/>
  <c r="BI34" i="2"/>
  <c r="BF67" i="22"/>
  <c r="BG67"/>
  <c r="U22"/>
  <c r="BG22"/>
  <c r="AJ45"/>
  <c r="BH46" i="21"/>
  <c r="BI29"/>
  <c r="AQ51"/>
  <c r="U52"/>
  <c r="W52"/>
  <c r="BJ44" i="26"/>
  <c r="BK32"/>
  <c r="AL48"/>
  <c r="BK22"/>
  <c r="BH30" i="2"/>
  <c r="V29"/>
  <c r="BI29" s="1"/>
  <c r="BF43" i="22"/>
  <c r="BH43" s="1"/>
  <c r="BI39" i="21"/>
  <c r="BJ39" s="1"/>
  <c r="BG36" i="2"/>
  <c r="W40" i="26"/>
  <c r="BK40"/>
  <c r="AQ52" i="21"/>
  <c r="BG42" i="22"/>
  <c r="BH41" i="2"/>
  <c r="BB38"/>
  <c r="BI33"/>
  <c r="AJ48"/>
  <c r="BH24"/>
  <c r="BL24"/>
  <c r="BF9"/>
  <c r="BH49" i="21"/>
  <c r="BJ49" s="1"/>
  <c r="BI46"/>
  <c r="W41"/>
  <c r="BI41"/>
  <c r="BH29"/>
  <c r="BJ29"/>
  <c r="BH28"/>
  <c r="BJ28"/>
  <c r="BK43" i="26"/>
  <c r="BL43"/>
  <c r="BD37"/>
  <c r="BK37"/>
  <c r="BJ32"/>
  <c r="BL32"/>
  <c r="BJ31"/>
  <c r="BJ47"/>
  <c r="BL47" s="1"/>
  <c r="BH8" i="21"/>
  <c r="BG19" i="22"/>
  <c r="BG38"/>
  <c r="BH38" s="1"/>
  <c r="BI24" i="2"/>
  <c r="BI41"/>
  <c r="BL41" s="1"/>
  <c r="BH46"/>
  <c r="U39" i="22"/>
  <c r="BG39" s="1"/>
  <c r="R40"/>
  <c r="S34"/>
  <c r="BH37" i="2"/>
  <c r="BL37" s="1"/>
  <c r="S33" i="22"/>
  <c r="U33" s="1"/>
  <c r="V38" i="2"/>
  <c r="BH38" s="1"/>
  <c r="BL38" s="1"/>
  <c r="BG26"/>
  <c r="BI26"/>
  <c r="S66" i="22"/>
  <c r="S40"/>
  <c r="R31"/>
  <c r="U31"/>
  <c r="R20"/>
  <c r="I52" i="21"/>
  <c r="BH41"/>
  <c r="W29" i="26"/>
  <c r="BK29" s="1"/>
  <c r="R66" i="22"/>
  <c r="AO51" i="21"/>
  <c r="AZ45" i="22"/>
  <c r="V28" i="2"/>
  <c r="BH28"/>
  <c r="BK25" i="26"/>
  <c r="BL25"/>
  <c r="U37" i="22"/>
  <c r="BF37" s="1"/>
  <c r="BH37" s="1"/>
  <c r="BH26" i="2"/>
  <c r="BI34" i="21"/>
  <c r="BJ34"/>
  <c r="BF17" i="22"/>
  <c r="BH17" s="1"/>
  <c r="BG41"/>
  <c r="BH41" s="1"/>
  <c r="BK41" i="26"/>
  <c r="BJ22" i="21"/>
  <c r="BI35" i="2"/>
  <c r="BH29"/>
  <c r="BL29" s="1"/>
  <c r="BL34"/>
  <c r="BK45" i="26"/>
  <c r="BL45"/>
  <c r="BH32" i="21"/>
  <c r="BJ32"/>
  <c r="BH37"/>
  <c r="BJ37"/>
  <c r="BH47"/>
  <c r="BJ47"/>
  <c r="U20" i="22"/>
  <c r="BG20"/>
  <c r="BG21"/>
  <c r="BH21"/>
  <c r="BF21"/>
  <c r="U28"/>
  <c r="BG28" s="1"/>
  <c r="BF28"/>
  <c r="BH28" s="1"/>
  <c r="BG31"/>
  <c r="BF22"/>
  <c r="BL22" i="26"/>
  <c r="BI20" i="21"/>
  <c r="BH20"/>
  <c r="U44" i="22"/>
  <c r="BG44"/>
  <c r="BH44" s="1"/>
  <c r="BJ46" i="21"/>
  <c r="BL30" i="2"/>
  <c r="BH30" i="21"/>
  <c r="BJ30" s="1"/>
  <c r="BJ50"/>
  <c r="BJ27"/>
  <c r="BF20" i="22"/>
  <c r="BH20"/>
  <c r="BG37"/>
  <c r="BL37" i="26"/>
  <c r="BJ48"/>
  <c r="BG35" i="22"/>
  <c r="U35"/>
  <c r="BF35"/>
  <c r="BH35" s="1"/>
  <c r="U26"/>
  <c r="BG24"/>
  <c r="BF24"/>
  <c r="BH24" s="1"/>
  <c r="BK46" i="26"/>
  <c r="BJ46"/>
  <c r="BL46"/>
  <c r="BF44" i="22"/>
  <c r="BI25" i="2"/>
  <c r="BL25"/>
  <c r="BH36"/>
  <c r="BI40"/>
  <c r="BH40"/>
  <c r="BL40" s="1"/>
  <c r="BH45" i="21"/>
  <c r="BI45"/>
  <c r="BI28" i="2"/>
  <c r="BJ29" i="26"/>
  <c r="BL29" s="1"/>
  <c r="BJ28"/>
  <c r="BH26" i="21"/>
  <c r="BJ26" s="1"/>
  <c r="BH42" i="22"/>
  <c r="BA45"/>
  <c r="BF30"/>
  <c r="BH30"/>
  <c r="BD23" i="26"/>
  <c r="BK23"/>
  <c r="BK48" s="1"/>
  <c r="BJ30"/>
  <c r="BL30"/>
  <c r="BG31" i="2"/>
  <c r="U48"/>
  <c r="S25" i="22"/>
  <c r="U25"/>
  <c r="BF25" s="1"/>
  <c r="BC48" i="21"/>
  <c r="BC51" s="1"/>
  <c r="BK42" i="26"/>
  <c r="BL42" s="1"/>
  <c r="BK38"/>
  <c r="BL38" s="1"/>
  <c r="BI48" i="21"/>
  <c r="BD48" i="26"/>
  <c r="T22" i="76"/>
  <c r="L26"/>
  <c r="V20" i="75"/>
  <c r="V21"/>
  <c r="R17"/>
  <c r="BH22" i="22"/>
  <c r="BL26" i="2"/>
  <c r="BL23" i="26"/>
  <c r="BL48" s="1"/>
  <c r="BJ20" i="21"/>
  <c r="BJ41"/>
  <c r="BJ45"/>
  <c r="BF26" i="22"/>
  <c r="BH26"/>
  <c r="BG26"/>
  <c r="BI36" i="2"/>
  <c r="BL36" s="1"/>
  <c r="BF31" i="22"/>
  <c r="BH31" s="1"/>
  <c r="BH21" i="21"/>
  <c r="BH36"/>
  <c r="U66" i="22"/>
  <c r="BF66" s="1"/>
  <c r="BG66" s="1"/>
  <c r="BI38" i="2"/>
  <c r="U34" i="22"/>
  <c r="BF34"/>
  <c r="BH34" s="1"/>
  <c r="BI44" i="21"/>
  <c r="BH40"/>
  <c r="BJ40"/>
  <c r="U27" i="22"/>
  <c r="BF27" s="1"/>
  <c r="BH27" s="1"/>
  <c r="BG27"/>
  <c r="BK44" i="26"/>
  <c r="BL44"/>
  <c r="BH42" i="2"/>
  <c r="BB45"/>
  <c r="AN48"/>
  <c r="BK31" i="26"/>
  <c r="BL31" s="1"/>
  <c r="U40" i="22"/>
  <c r="BF40" s="1"/>
  <c r="BJ40" i="26"/>
  <c r="BL40" s="1"/>
  <c r="V43" i="2"/>
  <c r="BI43" s="1"/>
  <c r="V39"/>
  <c r="BH39" s="1"/>
  <c r="BL39" s="1"/>
  <c r="AM48"/>
  <c r="AI48"/>
  <c r="BH44"/>
  <c r="AR48"/>
  <c r="BG18" i="22"/>
  <c r="R32"/>
  <c r="BF32" s="1"/>
  <c r="BH32" s="1"/>
  <c r="S23"/>
  <c r="S16"/>
  <c r="U16" s="1"/>
  <c r="BH48" i="21"/>
  <c r="BJ48" s="1"/>
  <c r="BJ21"/>
  <c r="BI39" i="2"/>
  <c r="BJ44" i="21"/>
  <c r="U32" i="22"/>
  <c r="BG32" s="1"/>
  <c r="BB48" i="2"/>
  <c r="BG34" i="22"/>
  <c r="BH43" i="2"/>
  <c r="BL43" s="1"/>
  <c r="U23" i="22"/>
  <c r="BF23" s="1"/>
  <c r="T21" i="76"/>
  <c r="U25"/>
  <c r="U23"/>
  <c r="T19"/>
  <c r="T17"/>
  <c r="W24" l="1"/>
  <c r="U24"/>
  <c r="U20"/>
  <c r="W20" s="1"/>
  <c r="S26"/>
  <c r="W23"/>
  <c r="U21"/>
  <c r="W21" s="1"/>
  <c r="U22"/>
  <c r="W22" s="1"/>
  <c r="U17"/>
  <c r="W25"/>
  <c r="R22" i="75"/>
  <c r="S17"/>
  <c r="S22" s="1"/>
  <c r="T18" i="76"/>
  <c r="BJ36" i="21"/>
  <c r="BG33" i="22"/>
  <c r="BF33"/>
  <c r="BF16"/>
  <c r="BL28" i="26"/>
  <c r="BG23" i="22"/>
  <c r="BH23" s="1"/>
  <c r="S45"/>
  <c r="BG40"/>
  <c r="BH40" s="1"/>
  <c r="BG25"/>
  <c r="BH25" s="1"/>
  <c r="BF39"/>
  <c r="BH39" s="1"/>
  <c r="W48" i="26"/>
  <c r="BJ38" i="21"/>
  <c r="BF15" i="22"/>
  <c r="BG15"/>
  <c r="BJ27" i="26"/>
  <c r="BK27"/>
  <c r="V45" i="2"/>
  <c r="BI44"/>
  <c r="BL44" s="1"/>
  <c r="BH33"/>
  <c r="BL33" s="1"/>
  <c r="T17" i="75"/>
  <c r="T22" s="1"/>
  <c r="BH42" i="21"/>
  <c r="BI42"/>
  <c r="T45" i="22"/>
  <c r="BG16"/>
  <c r="R45"/>
  <c r="BH31" i="2"/>
  <c r="BL34" i="26"/>
  <c r="BF18" i="22"/>
  <c r="BH18" s="1"/>
  <c r="BI43" i="21"/>
  <c r="BH43"/>
  <c r="BK39" i="26"/>
  <c r="BL39" s="1"/>
  <c r="BF29" i="22"/>
  <c r="BH29" s="1"/>
  <c r="AN51" i="21"/>
  <c r="BH24"/>
  <c r="BJ24" s="1"/>
  <c r="U36" i="22"/>
  <c r="BF36" s="1"/>
  <c r="W23" i="21"/>
  <c r="BK36" i="26"/>
  <c r="BL36" s="1"/>
  <c r="BC48" i="2"/>
  <c r="U19" i="76"/>
  <c r="W19" s="1"/>
  <c r="W17" l="1"/>
  <c r="U18"/>
  <c r="W18" s="1"/>
  <c r="T26"/>
  <c r="BI23" i="21"/>
  <c r="W51"/>
  <c r="BJ42"/>
  <c r="BL27" i="26"/>
  <c r="BH16" i="22"/>
  <c r="BG36"/>
  <c r="BH36" s="1"/>
  <c r="BH23" i="21"/>
  <c r="U45" i="22"/>
  <c r="BJ43" i="21"/>
  <c r="BL31" i="2"/>
  <c r="V17" i="75"/>
  <c r="V22" s="1"/>
  <c r="BI45" i="2"/>
  <c r="BI48" s="1"/>
  <c r="V48"/>
  <c r="BH45"/>
  <c r="BL45" s="1"/>
  <c r="BH15" i="22"/>
  <c r="BF45"/>
  <c r="BH33"/>
  <c r="U26" i="76" l="1"/>
  <c r="W26"/>
  <c r="BH45" i="22"/>
  <c r="BL48" i="2"/>
  <c r="BH48"/>
  <c r="BG45" i="22"/>
  <c r="BI51" i="21"/>
  <c r="BI52"/>
  <c r="BH51"/>
  <c r="BH52"/>
  <c r="BJ23"/>
  <c r="BJ51" s="1"/>
</calcChain>
</file>

<file path=xl/sharedStrings.xml><?xml version="1.0" encoding="utf-8"?>
<sst xmlns="http://schemas.openxmlformats.org/spreadsheetml/2006/main" count="2217" uniqueCount="677">
  <si>
    <t>17,0,0</t>
  </si>
  <si>
    <t>каз-яз</t>
  </si>
  <si>
    <t>АРПИ</t>
  </si>
  <si>
    <t>ин-яз</t>
  </si>
  <si>
    <r>
      <t>Сумма за часы</t>
    </r>
    <r>
      <rPr>
        <sz val="9"/>
        <rFont val="Arial"/>
        <family val="2"/>
      </rPr>
      <t xml:space="preserve"> (проверка тетради)</t>
    </r>
  </si>
  <si>
    <t>воспит.предшк</t>
  </si>
  <si>
    <t>,</t>
  </si>
  <si>
    <t>Адрес учреждения с.Кожа, Наурзумский район</t>
  </si>
  <si>
    <t>Наименование зав, №диплома</t>
  </si>
  <si>
    <t>Нактаева Катира Сейдагалиевна</t>
  </si>
  <si>
    <t>Каскирбаева Жанат Сеилбековна</t>
  </si>
  <si>
    <t>Нургожин Ерболат Омирханович</t>
  </si>
  <si>
    <t>Айсина Динаш Умирзаковна</t>
  </si>
  <si>
    <t>Айсин М.У.</t>
  </si>
  <si>
    <t>ТАРИФИКАЦИОННЫЙ СПИСОК УЧИТЕЛЕЙ НАУРЗУМСКОЙ СРЕДНЕЙ ШКОЛЫ</t>
  </si>
  <si>
    <t>Число классов на 1.09</t>
  </si>
  <si>
    <t>Число к / комплектов на 1.09</t>
  </si>
  <si>
    <t>Число учащихся на 1.09</t>
  </si>
  <si>
    <t>сельск. местн.      25%</t>
  </si>
  <si>
    <t>25 % каз.язи рус.яз</t>
  </si>
  <si>
    <t>мастер,         внекл.раб</t>
  </si>
  <si>
    <t>23 компьютер</t>
  </si>
  <si>
    <t>АРПИ-Е- 278516</t>
  </si>
  <si>
    <t>Есенбаев Жумабек Шопшибаевич</t>
  </si>
  <si>
    <t>СХТ оаб  0147211</t>
  </si>
  <si>
    <t>Ермекбаева Гульзада Кабиевна</t>
  </si>
  <si>
    <t>КГУ -ЖБ0024482</t>
  </si>
  <si>
    <t>Молбаева Зибагуль Токешовна</t>
  </si>
  <si>
    <t>РПУ119910</t>
  </si>
  <si>
    <t>кпк оаб 0466262</t>
  </si>
  <si>
    <t>Тапалова Асия Сагиевна</t>
  </si>
  <si>
    <t>КГУ 0441099</t>
  </si>
  <si>
    <t>Тапалова Гульжихан Жаксиликовна</t>
  </si>
  <si>
    <t>технология</t>
  </si>
  <si>
    <t>кипт нт 1409819</t>
  </si>
  <si>
    <t>Садуахова Хамила Мухамеджановна</t>
  </si>
  <si>
    <t>КазПИ - 094248</t>
  </si>
  <si>
    <t>КазПИ - 094249</t>
  </si>
  <si>
    <t>АРПИ 278003</t>
  </si>
  <si>
    <t>ксту жбб0136327</t>
  </si>
  <si>
    <t>Оспанова Жумакуль Салимовна</t>
  </si>
  <si>
    <t>кпиЖб0651087</t>
  </si>
  <si>
    <t>Шайкен Жусупхан Нурсултанулы</t>
  </si>
  <si>
    <t>АРПИ 668171</t>
  </si>
  <si>
    <t>рисование</t>
  </si>
  <si>
    <t>Тотин Бекмагамбет Кошкенович</t>
  </si>
  <si>
    <t>КПИ РВ 122438</t>
  </si>
  <si>
    <t>КГПИ ЖБ-Б 0272993</t>
  </si>
  <si>
    <t>Досмаилова Тулеу Боранбаевна</t>
  </si>
  <si>
    <t>КПИ 452325</t>
  </si>
  <si>
    <t>КПК</t>
  </si>
  <si>
    <t>Ерманов Дабыл Жуманович</t>
  </si>
  <si>
    <t>КГПИ</t>
  </si>
  <si>
    <t>Абжанова Салтанат Куанышовна</t>
  </si>
  <si>
    <t>РБ</t>
  </si>
  <si>
    <t>МБ</t>
  </si>
  <si>
    <t>КГУ ЖБ 0096526</t>
  </si>
  <si>
    <t>Шаяхметов Ернар Канатбекович</t>
  </si>
  <si>
    <t>РИИ</t>
  </si>
  <si>
    <t>ТАРИФИКАЦИОННЫЙ СПИСОК УЧИТЕЛЕЙ УЛЕНДИНСКОЙ СРЕДНЕЙ ШКОЛЫ</t>
  </si>
  <si>
    <t>Байтасов Дидар Дулатович</t>
  </si>
  <si>
    <t>труд,черч,физ-ра</t>
  </si>
  <si>
    <t>Адрес учреждения с.Уленды, Наурзумский район</t>
  </si>
  <si>
    <t>"____" _________________ 2006 г.</t>
  </si>
  <si>
    <t>25 %каз.яз  и рус.яз</t>
  </si>
  <si>
    <t>мастер/внекл.работа</t>
  </si>
  <si>
    <t>16+1 компьютер</t>
  </si>
  <si>
    <t>10-11кл</t>
  </si>
  <si>
    <t>10-11 кл</t>
  </si>
  <si>
    <t>ЖБ-11№0166618</t>
  </si>
  <si>
    <t>Бияхметов Ерболат Сакеновия</t>
  </si>
  <si>
    <t>АБii0137926</t>
  </si>
  <si>
    <t>АБii0137927</t>
  </si>
  <si>
    <t>АБii0137928</t>
  </si>
  <si>
    <t>Ергазина Раушан Марденовна</t>
  </si>
  <si>
    <t>ЖБ 0237552</t>
  </si>
  <si>
    <t>ЖБ-Б 093209</t>
  </si>
  <si>
    <t>ЖБ 0722562</t>
  </si>
  <si>
    <t>жб0095712</t>
  </si>
  <si>
    <t xml:space="preserve">Калиева Балаш Калмухановна </t>
  </si>
  <si>
    <t>Беисова Гульзада Бакыткановна</t>
  </si>
  <si>
    <t>жб 0039015</t>
  </si>
  <si>
    <t>Жауымбеккызы Толеу</t>
  </si>
  <si>
    <t>Б-1№02928</t>
  </si>
  <si>
    <t>Касенова Гульнар Ергешовна</t>
  </si>
  <si>
    <t xml:space="preserve">физика </t>
  </si>
  <si>
    <t xml:space="preserve">Омарова Алмагуль Каиповна </t>
  </si>
  <si>
    <t>Кв332070</t>
  </si>
  <si>
    <t>Кв332071</t>
  </si>
  <si>
    <t>Оспанова Роза Сагидоллаевна</t>
  </si>
  <si>
    <t>Ч743825</t>
  </si>
  <si>
    <t>КТ182447</t>
  </si>
  <si>
    <t>Кабылова Алия Кенжебаевна</t>
  </si>
  <si>
    <t>29,0,16</t>
  </si>
  <si>
    <t>Нысанбаева Айгуль Болатовна</t>
  </si>
  <si>
    <t>0047432</t>
  </si>
  <si>
    <t>АОБ 0194238</t>
  </si>
  <si>
    <t>Жакупова РозаЗиядиновна</t>
  </si>
  <si>
    <t>Бирмагамбетова Алия Кошербаевна</t>
  </si>
  <si>
    <t>КОБ 0074309</t>
  </si>
  <si>
    <t>Ергелдинова Зульфия Женисовна</t>
  </si>
  <si>
    <t>Серкенов Жомарт Амантаевич</t>
  </si>
  <si>
    <t>Директор школы:</t>
  </si>
  <si>
    <t>Серкенов Ж.А.</t>
  </si>
  <si>
    <t>Гл.бухгалтер:</t>
  </si>
  <si>
    <t>30,0,16</t>
  </si>
  <si>
    <t>16,0,15</t>
  </si>
  <si>
    <t>ШИЛИНСКОЙ СРЕДНЕЙ ШКОЛЫ</t>
  </si>
  <si>
    <t>Адрес учреждения с.Шили, Наурзумский район</t>
  </si>
  <si>
    <t>наимено    вание должности</t>
  </si>
  <si>
    <t>учебн.</t>
  </si>
  <si>
    <t xml:space="preserve">кат-я </t>
  </si>
  <si>
    <t>доплата за учебники</t>
  </si>
  <si>
    <t>к-во шт.ед</t>
  </si>
  <si>
    <t>должн.оклад</t>
  </si>
  <si>
    <t>сельк.местн</t>
  </si>
  <si>
    <t>заведен.</t>
  </si>
  <si>
    <t>жб№0327917</t>
  </si>
  <si>
    <t>Тулегенов Ерлан Багитжанович</t>
  </si>
  <si>
    <t>G -10</t>
  </si>
  <si>
    <t>Баймуханова  Айгуль Кабдуалиевна</t>
  </si>
  <si>
    <t>зам ВР</t>
  </si>
  <si>
    <t>жб№0237955</t>
  </si>
  <si>
    <t>Бекетаев Жумабай Дакенович</t>
  </si>
  <si>
    <t>жб№0716177</t>
  </si>
  <si>
    <t>ЖБ№0722400</t>
  </si>
  <si>
    <t>Баймаганбетова Шолпан Байсеитовна</t>
  </si>
  <si>
    <t>ЖБ№0441057</t>
  </si>
  <si>
    <t>Кусаинова Гульшат Серикбаевна</t>
  </si>
  <si>
    <t>Каратаев М.Т.</t>
  </si>
  <si>
    <t>на  1 сентября 2012 года</t>
  </si>
  <si>
    <t>муз.изб.иск</t>
  </si>
  <si>
    <t>4,1,1</t>
  </si>
  <si>
    <t>28,0,6</t>
  </si>
  <si>
    <t>16,0,7</t>
  </si>
  <si>
    <t>русс.яз. Иск</t>
  </si>
  <si>
    <t>40,8,15</t>
  </si>
  <si>
    <t>36,0,21</t>
  </si>
  <si>
    <t>35,1,1</t>
  </si>
  <si>
    <t>26,0,10</t>
  </si>
  <si>
    <t>каз.язсамопоз</t>
  </si>
  <si>
    <t>28,3,2</t>
  </si>
  <si>
    <t>30,6,21</t>
  </si>
  <si>
    <t>32,10,19</t>
  </si>
  <si>
    <t>3,11,12</t>
  </si>
  <si>
    <t>геог,истор</t>
  </si>
  <si>
    <t>32,0,0</t>
  </si>
  <si>
    <t>Исмагулов Ерболат Кереевич</t>
  </si>
  <si>
    <t>Директор школы                                        Воронкова Т.И</t>
  </si>
  <si>
    <t>Гл.бухгалтер                                                Кожабаев А.Б.</t>
  </si>
  <si>
    <t>итого ЗП в месяц  МБ</t>
  </si>
  <si>
    <t>ТАРИФИКАЦИОННЫЙ СПИСОК УЧИТЕЛЕЙ ШИЛИНСКОЙ СРЕДНЕЙ ШКОЛЫ</t>
  </si>
  <si>
    <t>_________________________________</t>
  </si>
  <si>
    <t>наименование</t>
  </si>
  <si>
    <t>10 -11 кл</t>
  </si>
  <si>
    <t>Каратаев Маулен Темиргалиевич</t>
  </si>
  <si>
    <t>16,0,0</t>
  </si>
  <si>
    <t>Жундубаева Калима Кадыровна</t>
  </si>
  <si>
    <t>я№19466</t>
  </si>
  <si>
    <t>Мурзахметова Гульнар Жангабыловна</t>
  </si>
  <si>
    <t>Турсунбаева Амандык Даулетжановна</t>
  </si>
  <si>
    <t>каз.яз.</t>
  </si>
  <si>
    <t>ЖБ№0327920</t>
  </si>
  <si>
    <t>Сексенбаева Максут Культабановна</t>
  </si>
  <si>
    <t>ИВ№331807</t>
  </si>
  <si>
    <t>Биржанов Турехан Даулетбаевич</t>
  </si>
  <si>
    <t>ЖБ№0095884</t>
  </si>
  <si>
    <t>Тулеужанов Алмаз Малгаждарович</t>
  </si>
  <si>
    <t>ЖБ№0062055</t>
  </si>
  <si>
    <t>11,10,20</t>
  </si>
  <si>
    <t xml:space="preserve">англ., </t>
  </si>
  <si>
    <t>ЖВ№223541</t>
  </si>
  <si>
    <t>Кубеева Жупаргуль Бультриковна</t>
  </si>
  <si>
    <t>Досмаганбетова Кульбарам Нуртаевна</t>
  </si>
  <si>
    <t>ЖБ№0328551</t>
  </si>
  <si>
    <t>Тукенова Гульмира Хамитовна</t>
  </si>
  <si>
    <t>ЖБ№0723149</t>
  </si>
  <si>
    <t>Маканаев Асылбек Батыргалиевич</t>
  </si>
  <si>
    <t>ЖБ№0073850</t>
  </si>
  <si>
    <t>Тукенова Ельмира Хамитовна</t>
  </si>
  <si>
    <t>ЖБ№0015481</t>
  </si>
  <si>
    <t>Салыкбаева Орынбас Сулейменовна</t>
  </si>
  <si>
    <t>ТАРИФИКАЦИОННЫЙ СПИСОК УЧИТЕЛЕЙ   ДАМДИНСКОЙ СРЕДНЕЙ ШКОЛЫ</t>
  </si>
  <si>
    <t>Адрес учреждения с.Дамды, Наурзумский район</t>
  </si>
  <si>
    <t>Наименование уч.зав-я</t>
  </si>
  <si>
    <t>катег - я</t>
  </si>
  <si>
    <t>Кочережченко Надежда Николаевна</t>
  </si>
  <si>
    <t>ПТ-1333613</t>
  </si>
  <si>
    <t>Мукатов Серик Байдулаевич</t>
  </si>
  <si>
    <t>истор, геогр</t>
  </si>
  <si>
    <t>Абдулаева Тахира Гейдаровна</t>
  </si>
  <si>
    <t>АЖБ0040046</t>
  </si>
  <si>
    <t>Мухаметгалиева Разиля Нургали</t>
  </si>
  <si>
    <t>ЖБ0716115</t>
  </si>
  <si>
    <t>нач.класс</t>
  </si>
  <si>
    <t>28,0,16</t>
  </si>
  <si>
    <t>Зейнуллина Гульшара Кабдрахмановна</t>
  </si>
  <si>
    <t>Тулегенов Аслан Батырханович</t>
  </si>
  <si>
    <t>шт</t>
  </si>
  <si>
    <t>внекл.  раб. Маст.</t>
  </si>
  <si>
    <t>8+1 компьютер</t>
  </si>
  <si>
    <t xml:space="preserve">  G</t>
  </si>
  <si>
    <t>Кузембаев Муратбек Баяханович</t>
  </si>
  <si>
    <t>КазПИ</t>
  </si>
  <si>
    <t>Баигенжина Динара Егубаевна</t>
  </si>
  <si>
    <t>Нурманова ГульнарКабденовна</t>
  </si>
  <si>
    <t>Суюнбеков   Адил Табанович</t>
  </si>
  <si>
    <t>КМУ</t>
  </si>
  <si>
    <t>Костин Оралбек Бейсебекович</t>
  </si>
  <si>
    <t>КГИ</t>
  </si>
  <si>
    <t>Рахметалина БагытжанСулейменовна</t>
  </si>
  <si>
    <t>Искакова Мендеш К</t>
  </si>
  <si>
    <t>хим,биол</t>
  </si>
  <si>
    <t>Ещанов РысбекСабитбекович</t>
  </si>
  <si>
    <t>инд.кол</t>
  </si>
  <si>
    <t>физ-ра,</t>
  </si>
  <si>
    <t>Айдарбекова Роза Оразбековна</t>
  </si>
  <si>
    <t>Ещанова Гульнар Калбаевна</t>
  </si>
  <si>
    <t>Руд.Уч.</t>
  </si>
  <si>
    <t>рус.язсамоп</t>
  </si>
  <si>
    <t>каз-яз лит.</t>
  </si>
  <si>
    <t>29,0,4</t>
  </si>
  <si>
    <t xml:space="preserve">Бижанова Айгерим Аскарова </t>
  </si>
  <si>
    <t>Токаева РагульСулейменовна</t>
  </si>
  <si>
    <t>Кикбаева Гульмайра Мадигалиевна</t>
  </si>
  <si>
    <t>Аидарбеков Темирхан Булатович</t>
  </si>
  <si>
    <t>Байгенжина Дина Темирболатовна</t>
  </si>
  <si>
    <t>русс.яз,литер</t>
  </si>
  <si>
    <t>Бесжанова Сауле Сейтбековна</t>
  </si>
  <si>
    <t>Суимбекова Зибагуль Абикеновна</t>
  </si>
  <si>
    <t>физ-мат</t>
  </si>
  <si>
    <t xml:space="preserve">    Итого</t>
  </si>
  <si>
    <t>Кузембаев М.Б.</t>
  </si>
  <si>
    <t>4,0,15</t>
  </si>
  <si>
    <t>директор</t>
  </si>
  <si>
    <t>14,0,0</t>
  </si>
  <si>
    <t>Балабеков М.Б.</t>
  </si>
  <si>
    <t>31,5,12</t>
  </si>
  <si>
    <t>29,1,11</t>
  </si>
  <si>
    <t>33,11,15</t>
  </si>
  <si>
    <t>4,7,0</t>
  </si>
  <si>
    <t>15,2,0</t>
  </si>
  <si>
    <t>Есеев Медет Жубанышович</t>
  </si>
  <si>
    <t>англ. Яз</t>
  </si>
  <si>
    <t>28,0,0</t>
  </si>
  <si>
    <t>28,00,0</t>
  </si>
  <si>
    <t>34,0,17</t>
  </si>
  <si>
    <t>27,4,23</t>
  </si>
  <si>
    <t>25,6,29</t>
  </si>
  <si>
    <t>22,0,0</t>
  </si>
  <si>
    <t>19,0,11</t>
  </si>
  <si>
    <t>Исембаева Жамила Дуисенбаевна</t>
  </si>
  <si>
    <t>Суенбекова Гулмайра Табановна</t>
  </si>
  <si>
    <t>био. Хим</t>
  </si>
  <si>
    <t>ЖБ 0052238</t>
  </si>
  <si>
    <t>Киабаев Жасулан Баянович</t>
  </si>
  <si>
    <t>ЖБ 0004980</t>
  </si>
  <si>
    <t>прав</t>
  </si>
  <si>
    <t>"Утверждаю"</t>
  </si>
  <si>
    <t>Начальник ГУ ОО:</t>
  </si>
  <si>
    <t>_________________________</t>
  </si>
  <si>
    <t>ШТАТНОЕ РАСПИСАНИЕ  УЧЕБНО - ВСПОМАГАТЕЛЬНОГО ПЕРСОНАЛА</t>
  </si>
  <si>
    <t>30,0,21</t>
  </si>
  <si>
    <t>Бабырова Кулаш Койбагаровна</t>
  </si>
  <si>
    <t>Адрес учреждения с.Буревестник, Наурзумский район</t>
  </si>
  <si>
    <t>№</t>
  </si>
  <si>
    <t>Ф.И.О.</t>
  </si>
  <si>
    <t>Наименование уч.зав</t>
  </si>
  <si>
    <t>№ диплома</t>
  </si>
  <si>
    <t>пед</t>
  </si>
  <si>
    <t>кате-</t>
  </si>
  <si>
    <t>ставка</t>
  </si>
  <si>
    <t>недельн</t>
  </si>
  <si>
    <t>сель/ местн. 25%</t>
  </si>
  <si>
    <t>доплата за кат-ю</t>
  </si>
  <si>
    <t>итого ЗП в месяц</t>
  </si>
  <si>
    <t>п/п</t>
  </si>
  <si>
    <t>G</t>
  </si>
  <si>
    <t>стаж</t>
  </si>
  <si>
    <t>гория</t>
  </si>
  <si>
    <t>в</t>
  </si>
  <si>
    <t>нагрузка</t>
  </si>
  <si>
    <t>по 41</t>
  </si>
  <si>
    <t>лет</t>
  </si>
  <si>
    <t>месяц</t>
  </si>
  <si>
    <t>мат</t>
  </si>
  <si>
    <t>рус</t>
  </si>
  <si>
    <t>Г-1№256087</t>
  </si>
  <si>
    <t>высш</t>
  </si>
  <si>
    <t>итого в месяц МБ</t>
  </si>
  <si>
    <t>вожатая</t>
  </si>
  <si>
    <t>ср.спец</t>
  </si>
  <si>
    <t>Кондратьева Светлана Сергеевна</t>
  </si>
  <si>
    <t>11,0,0</t>
  </si>
  <si>
    <t>16,0,11</t>
  </si>
  <si>
    <t>Ребека Елена Сергеевна</t>
  </si>
  <si>
    <t>4,0,0</t>
  </si>
  <si>
    <t>Павленко Дмитрий Желькович</t>
  </si>
  <si>
    <t>лаборант</t>
  </si>
  <si>
    <t>2,0,0</t>
  </si>
  <si>
    <t>вторая</t>
  </si>
  <si>
    <t xml:space="preserve">                              И Т О Г О:</t>
  </si>
  <si>
    <t>х</t>
  </si>
  <si>
    <t>Директор  школы</t>
  </si>
  <si>
    <t>Магажанов М.Г.</t>
  </si>
  <si>
    <t>Показатели на начало года</t>
  </si>
  <si>
    <t>1-4</t>
  </si>
  <si>
    <t>5 - 9</t>
  </si>
  <si>
    <t>10 - 11</t>
  </si>
  <si>
    <t>итого</t>
  </si>
  <si>
    <t>ТАРИФИКАЦИОННЫЙ СПИСОК УЧИТЕЛЕЙ БУРЕВЕСТНЕНСКОЙ СРЕДНЕЙ ШКОЛЫ</t>
  </si>
  <si>
    <t>Число классов на 1 сентября</t>
  </si>
  <si>
    <t>Число к / комплектов на 1 сентября</t>
  </si>
  <si>
    <t>Число учащихся на 1 сентября</t>
  </si>
  <si>
    <t>Общее число часов в неделю</t>
  </si>
  <si>
    <t>__________________________</t>
  </si>
  <si>
    <t>а) число часов по учебному плану</t>
  </si>
  <si>
    <t xml:space="preserve">б) число дополнительных часов </t>
  </si>
  <si>
    <t xml:space="preserve">          иностранный язык</t>
  </si>
  <si>
    <t xml:space="preserve">          трудовое обучение</t>
  </si>
  <si>
    <t xml:space="preserve">          информатика</t>
  </si>
  <si>
    <t xml:space="preserve">          казахский язык</t>
  </si>
  <si>
    <t xml:space="preserve">         русский язык</t>
  </si>
  <si>
    <t xml:space="preserve">        физкультура</t>
  </si>
  <si>
    <t>препод</t>
  </si>
  <si>
    <t>Экономист                                                    Балабеков М.Б.</t>
  </si>
  <si>
    <t>Дамды</t>
  </si>
  <si>
    <t>ШИЛИ</t>
  </si>
  <si>
    <t>Бур</t>
  </si>
  <si>
    <t>образование</t>
  </si>
  <si>
    <t>педставки</t>
  </si>
  <si>
    <t xml:space="preserve">   число часов в неделю</t>
  </si>
  <si>
    <t xml:space="preserve">   зарплата в месяц</t>
  </si>
  <si>
    <t>проверка тетради</t>
  </si>
  <si>
    <t>кол-во часов (проверка тетради)</t>
  </si>
  <si>
    <t>25%каз яз и рус.яз</t>
  </si>
  <si>
    <t>классное рук-во</t>
  </si>
  <si>
    <t>внекл. раб./ маст</t>
  </si>
  <si>
    <t>кабинет</t>
  </si>
  <si>
    <t>предмет</t>
  </si>
  <si>
    <t>бдо</t>
  </si>
  <si>
    <t>%</t>
  </si>
  <si>
    <t xml:space="preserve">1 - 4 кл </t>
  </si>
  <si>
    <t>5 - 9  кл</t>
  </si>
  <si>
    <t>10 - 11 кл</t>
  </si>
  <si>
    <t>сельские</t>
  </si>
  <si>
    <t>итого в месяц</t>
  </si>
  <si>
    <t>1-4кл</t>
  </si>
  <si>
    <t>5-9кл</t>
  </si>
  <si>
    <t>1 - 4кл</t>
  </si>
  <si>
    <t>5  -9кл</t>
  </si>
  <si>
    <t>часы</t>
  </si>
  <si>
    <t>сумма</t>
  </si>
  <si>
    <t>биология</t>
  </si>
  <si>
    <t>ЕВ 088968</t>
  </si>
  <si>
    <t>б/к</t>
  </si>
  <si>
    <t>химия</t>
  </si>
  <si>
    <t>Жакупова Гульгиза Абикеновна</t>
  </si>
  <si>
    <t>математика</t>
  </si>
  <si>
    <t xml:space="preserve">высш </t>
  </si>
  <si>
    <t>самопоз</t>
  </si>
  <si>
    <t>русс.яз</t>
  </si>
  <si>
    <t>завхоз</t>
  </si>
  <si>
    <t>20,0,6</t>
  </si>
  <si>
    <t>ШТАТНОЕ РАСПИСАНИЕ АДМИНИСТРАТИВНО-ХОЗЯИСТВЕННОГО ПЕРСОНАЛА</t>
  </si>
  <si>
    <t>G -4</t>
  </si>
  <si>
    <t>общ.сред</t>
  </si>
  <si>
    <t xml:space="preserve"> Текаева Ирина Витальевна</t>
  </si>
  <si>
    <t>4 класс</t>
  </si>
  <si>
    <t>Гифатулина Альфия Науфильевна</t>
  </si>
  <si>
    <t>3 класс</t>
  </si>
  <si>
    <t>ЖБ0168548</t>
  </si>
  <si>
    <t>история</t>
  </si>
  <si>
    <t>Салманова Шафига Гасановна</t>
  </si>
  <si>
    <t>первая</t>
  </si>
  <si>
    <t>Башарина Татьяна Федоровна</t>
  </si>
  <si>
    <t>матем</t>
  </si>
  <si>
    <t>НВ072715</t>
  </si>
  <si>
    <t>информ</t>
  </si>
  <si>
    <t>Воронкова Татьяна Иосифовна</t>
  </si>
  <si>
    <t>математ.</t>
  </si>
  <si>
    <t>музыка</t>
  </si>
  <si>
    <t>труд</t>
  </si>
  <si>
    <t>Заведеев Валерий Валерьевич</t>
  </si>
  <si>
    <t>физ-ра</t>
  </si>
  <si>
    <t>каз.язык,лит</t>
  </si>
  <si>
    <t>КГУ</t>
  </si>
  <si>
    <t>черчение</t>
  </si>
  <si>
    <t>вакансия</t>
  </si>
  <si>
    <t>9</t>
  </si>
  <si>
    <t>рус.яз</t>
  </si>
  <si>
    <t>Крячкина Тамара Николаевна</t>
  </si>
  <si>
    <t>1 класс</t>
  </si>
  <si>
    <t>2 класс</t>
  </si>
  <si>
    <t>физика</t>
  </si>
  <si>
    <t>в том числе:</t>
  </si>
  <si>
    <t>наименование предмета</t>
  </si>
  <si>
    <t>Образование</t>
  </si>
  <si>
    <t>БДО</t>
  </si>
  <si>
    <t>инстр.</t>
  </si>
  <si>
    <t>каз яз</t>
  </si>
  <si>
    <t>высшая</t>
  </si>
  <si>
    <t>самопозн</t>
  </si>
  <si>
    <t>высшее</t>
  </si>
  <si>
    <t>3,0,0</t>
  </si>
  <si>
    <t>русс.язык</t>
  </si>
  <si>
    <t>5,0,0</t>
  </si>
  <si>
    <t>Экономист</t>
  </si>
  <si>
    <t>ДОПОЛНИТЕЛЬНЫЙ ТАРИФИКАЦИОННЫЙ СПИСОК УЧИТЕЛЕЙ НАУРЗУМСКОЙ СРЕДНЕ ШКОЛЫ</t>
  </si>
  <si>
    <t>Садакбаева Тумар Егеубаевна</t>
  </si>
  <si>
    <t>биология,химия</t>
  </si>
  <si>
    <t>КГПИ №0093209</t>
  </si>
  <si>
    <t>АРПИ №0052238</t>
  </si>
  <si>
    <t>"____" _____________ 2012 г.</t>
  </si>
  <si>
    <t>"____" _________________ 2012 г.</t>
  </si>
  <si>
    <t>Образо вание</t>
  </si>
  <si>
    <t>наг</t>
  </si>
  <si>
    <t>9,0,0</t>
  </si>
  <si>
    <t>1,0,0</t>
  </si>
  <si>
    <t xml:space="preserve"> </t>
  </si>
  <si>
    <t>G -5</t>
  </si>
  <si>
    <t>7,0,0</t>
  </si>
  <si>
    <t>18,0,0</t>
  </si>
  <si>
    <t>зам.УР</t>
  </si>
  <si>
    <t>G - 10</t>
  </si>
  <si>
    <t>G - 14</t>
  </si>
  <si>
    <t>НВП</t>
  </si>
  <si>
    <t>G - 13</t>
  </si>
  <si>
    <t xml:space="preserve">         факультатив</t>
  </si>
  <si>
    <t>кат-я G</t>
  </si>
  <si>
    <t>нед</t>
  </si>
  <si>
    <t xml:space="preserve">   число часов в нед-ю</t>
  </si>
  <si>
    <t>25 % каз.яз и рус.яз</t>
  </si>
  <si>
    <t>допл.за кат-ю</t>
  </si>
  <si>
    <t>кл</t>
  </si>
  <si>
    <t>1-4 кл</t>
  </si>
  <si>
    <t>рук</t>
  </si>
  <si>
    <t>15,0,0</t>
  </si>
  <si>
    <t xml:space="preserve">первая </t>
  </si>
  <si>
    <t>40 компьютер</t>
  </si>
  <si>
    <t>Иевлева Диана Жумабековна</t>
  </si>
  <si>
    <t>16,0,6</t>
  </si>
  <si>
    <t>ср.спец.</t>
  </si>
  <si>
    <t>Сумма за часы (проверка тетради)</t>
  </si>
  <si>
    <t>русс.яз.</t>
  </si>
  <si>
    <t>каз.яз</t>
  </si>
  <si>
    <t>27,0,16</t>
  </si>
  <si>
    <t xml:space="preserve">на  1 сентября 2012 года </t>
  </si>
  <si>
    <t>Кожабаев А.Б.</t>
  </si>
  <si>
    <t>21,0,6</t>
  </si>
  <si>
    <t>география</t>
  </si>
  <si>
    <t>нед.нагр</t>
  </si>
  <si>
    <t>ИТОГО</t>
  </si>
  <si>
    <t>КПИ</t>
  </si>
  <si>
    <t xml:space="preserve">на  1 сентября 2011 года </t>
  </si>
  <si>
    <t>__________________</t>
  </si>
  <si>
    <t>17,0,16</t>
  </si>
  <si>
    <t>Исмухамбетова Галия Ереухановна</t>
  </si>
  <si>
    <t>34,1,1</t>
  </si>
  <si>
    <t>Турмагамбетова Гульсум Сабыровна</t>
  </si>
  <si>
    <t>ин.язык</t>
  </si>
  <si>
    <t>Шетигулова Гульжан Ертуганова</t>
  </si>
  <si>
    <t>Торин Темирхан Ансаганович</t>
  </si>
  <si>
    <t>Жаксымбетова Алия Аскаровна</t>
  </si>
  <si>
    <t>Ерманова Меруерт Жумановна</t>
  </si>
  <si>
    <t>Мусабаев Арман Алданович</t>
  </si>
  <si>
    <t>Саламатов Серик Мурзабекович</t>
  </si>
  <si>
    <t>Буханов Нуржан Есказывич</t>
  </si>
  <si>
    <t>Шотаякова Гульшат Тулебековна</t>
  </si>
  <si>
    <t>самопоз.</t>
  </si>
  <si>
    <t>Спанова Ажаркуль Балтабеккызы</t>
  </si>
  <si>
    <t>деловод</t>
  </si>
  <si>
    <t>число часов в неделю</t>
  </si>
  <si>
    <t>25 %каз.язи рус.яз</t>
  </si>
  <si>
    <t>Гл.бухгалтер</t>
  </si>
  <si>
    <t xml:space="preserve"> "Утверждаю"</t>
  </si>
  <si>
    <t>физкультура</t>
  </si>
  <si>
    <t xml:space="preserve">вторая </t>
  </si>
  <si>
    <t>Фамилия Имя Отчество</t>
  </si>
  <si>
    <t>,,,,,</t>
  </si>
  <si>
    <t>23,0,15</t>
  </si>
  <si>
    <t>12,0,11</t>
  </si>
  <si>
    <t>35,0,15</t>
  </si>
  <si>
    <t xml:space="preserve">на  1 сентября 2013 года </t>
  </si>
  <si>
    <t>32,2,4</t>
  </si>
  <si>
    <t>Сунева Светлана Николаевна</t>
  </si>
  <si>
    <t>4,11,14</t>
  </si>
  <si>
    <t>18,10,15</t>
  </si>
  <si>
    <t xml:space="preserve">на  1 сентября  2013 года </t>
  </si>
  <si>
    <t>труд,рисов,пение</t>
  </si>
  <si>
    <t>21,0,15</t>
  </si>
  <si>
    <t>24,0,1</t>
  </si>
  <si>
    <t>нем.яз.англ.</t>
  </si>
  <si>
    <t>22,0,5</t>
  </si>
  <si>
    <t>27,0,6</t>
  </si>
  <si>
    <t>4,0,13</t>
  </si>
  <si>
    <t>17,0,6</t>
  </si>
  <si>
    <t>труд,черчение</t>
  </si>
  <si>
    <t>Серикова Алмагуль Муканбеткалиевна</t>
  </si>
  <si>
    <t>Трегубченко Василий Владимирович</t>
  </si>
  <si>
    <t>Макарова Галина Вячеславовна</t>
  </si>
  <si>
    <t>рус-яз,лит-ра</t>
  </si>
  <si>
    <t>ЖБ0597712</t>
  </si>
  <si>
    <t>25,0,16</t>
  </si>
  <si>
    <t>4 класс,самопозн</t>
  </si>
  <si>
    <t>8,0,12</t>
  </si>
  <si>
    <t>показатели на начало месяца</t>
  </si>
  <si>
    <t>5-9</t>
  </si>
  <si>
    <t>10-11</t>
  </si>
  <si>
    <t>каз лит-ра</t>
  </si>
  <si>
    <t xml:space="preserve">вариатив </t>
  </si>
  <si>
    <t>"____" _________________ 2013 г.</t>
  </si>
  <si>
    <t>13,4,0</t>
  </si>
  <si>
    <t>21,4,10</t>
  </si>
  <si>
    <t>"____" _________________ 2013г.</t>
  </si>
  <si>
    <t xml:space="preserve">на  1 сентябр 2013 года </t>
  </si>
  <si>
    <r>
      <t>Сумма за часы</t>
    </r>
    <r>
      <rPr>
        <sz val="8"/>
        <rFont val="Arial"/>
        <family val="2"/>
      </rPr>
      <t xml:space="preserve"> (проверка тетради)</t>
    </r>
  </si>
  <si>
    <t>Жангалиева Гульдирайхан  Беймбеовна</t>
  </si>
  <si>
    <t>22,10,22</t>
  </si>
  <si>
    <t>да</t>
  </si>
  <si>
    <t>6,0,6</t>
  </si>
  <si>
    <t>34,0,16</t>
  </si>
  <si>
    <t>8,7,26</t>
  </si>
  <si>
    <t>21,0,4</t>
  </si>
  <si>
    <t>20%+20%</t>
  </si>
  <si>
    <t>самопозна,соц.пед</t>
  </si>
  <si>
    <t>12,0,15</t>
  </si>
  <si>
    <t>1-класс</t>
  </si>
  <si>
    <t>25,0,10</t>
  </si>
  <si>
    <t>29,5,28</t>
  </si>
  <si>
    <t>3класс</t>
  </si>
  <si>
    <t>ср\сп</t>
  </si>
  <si>
    <t>Кус.пед.колл</t>
  </si>
  <si>
    <t>2,0,9</t>
  </si>
  <si>
    <t>Махмутова ГульшатОразбековна</t>
  </si>
  <si>
    <t>20,0,22</t>
  </si>
  <si>
    <t>18,5,0</t>
  </si>
  <si>
    <t>27,10,2</t>
  </si>
  <si>
    <t>Абишев Кенжеболат Молдагалиевич</t>
  </si>
  <si>
    <t>ср</t>
  </si>
  <si>
    <t>11,5</t>
  </si>
  <si>
    <t>Титова Екатерина Вальеровна</t>
  </si>
  <si>
    <t>8,10,11</t>
  </si>
  <si>
    <t>Айдарбаева Перизат Алпамысовна</t>
  </si>
  <si>
    <t>18,0,10</t>
  </si>
  <si>
    <t>40,0,2</t>
  </si>
  <si>
    <t>36,0,0</t>
  </si>
  <si>
    <t>30,0,4</t>
  </si>
  <si>
    <t>17,0,01</t>
  </si>
  <si>
    <t>Аубакирова Жанна Уалиевна</t>
  </si>
  <si>
    <t>4,0,10</t>
  </si>
  <si>
    <t>13,9,19</t>
  </si>
  <si>
    <t>31,0,13</t>
  </si>
  <si>
    <t>40,0,16</t>
  </si>
  <si>
    <t>33,0,12</t>
  </si>
  <si>
    <t>9,4,24</t>
  </si>
  <si>
    <t>18,01,0</t>
  </si>
  <si>
    <t>19,1,0</t>
  </si>
  <si>
    <t>21,0,01</t>
  </si>
  <si>
    <t>Тулегенова Жумакуль Багитжановна</t>
  </si>
  <si>
    <t>16,0,06</t>
  </si>
  <si>
    <t>29,11,8</t>
  </si>
  <si>
    <t>10,0,16</t>
  </si>
  <si>
    <t>2,0,8</t>
  </si>
  <si>
    <t xml:space="preserve"> ИЗО черчение</t>
  </si>
  <si>
    <t>матем,физика</t>
  </si>
  <si>
    <t>класное руководство</t>
  </si>
  <si>
    <t>каз яз, рус, яз 25%</t>
  </si>
  <si>
    <t>Зейнуллина Мендыгул Жанбыршаевна</t>
  </si>
  <si>
    <t>БЖБ№0030722</t>
  </si>
  <si>
    <t>Болатова Айгерим Дулатовна</t>
  </si>
  <si>
    <t>ТКБ№0253945</t>
  </si>
  <si>
    <t xml:space="preserve">Экономист                           </t>
  </si>
  <si>
    <t>надбавка 10</t>
  </si>
  <si>
    <t>матемематика</t>
  </si>
  <si>
    <t xml:space="preserve">английский яз. </t>
  </si>
  <si>
    <t>Итого</t>
  </si>
  <si>
    <t>надбавка  10%</t>
  </si>
  <si>
    <t>библиотека</t>
  </si>
  <si>
    <t>соц.педагог</t>
  </si>
  <si>
    <t>кате-я</t>
  </si>
  <si>
    <t>В2-2</t>
  </si>
  <si>
    <t>В2-4</t>
  </si>
  <si>
    <t>В2-3</t>
  </si>
  <si>
    <t>В4-4</t>
  </si>
  <si>
    <t>В2-1</t>
  </si>
  <si>
    <t>по 1400</t>
  </si>
  <si>
    <t>В3-2</t>
  </si>
  <si>
    <t>В3-4</t>
  </si>
  <si>
    <t>С2</t>
  </si>
  <si>
    <t>А1-3-1</t>
  </si>
  <si>
    <t>D1</t>
  </si>
  <si>
    <t>С3</t>
  </si>
  <si>
    <t>назарбаев 30%</t>
  </si>
  <si>
    <t>итого ЗП в месяц 10%</t>
  </si>
  <si>
    <t>Каргулова Т.Б.</t>
  </si>
  <si>
    <t>мастер</t>
  </si>
  <si>
    <t xml:space="preserve">итого в месяц </t>
  </si>
  <si>
    <t>Блок</t>
  </si>
  <si>
    <t>надбавка 10%</t>
  </si>
  <si>
    <t xml:space="preserve">итого ЗП в месяц </t>
  </si>
  <si>
    <t>ШТАТНОЕ РАСПИСАНИЕ УЧЕБНО-ВСПОМАГАТЕЛЬНОГО ПЕРСОНАЛА</t>
  </si>
  <si>
    <t>психолог</t>
  </si>
  <si>
    <t>Кубеева Ж.Б.</t>
  </si>
  <si>
    <t>23,00,06</t>
  </si>
  <si>
    <t>38,00,00</t>
  </si>
  <si>
    <t>0,00,0</t>
  </si>
  <si>
    <t>русский язык</t>
  </si>
  <si>
    <t>б) число дополн.часов</t>
  </si>
  <si>
    <t>русский язык и лит-ра</t>
  </si>
  <si>
    <t>Оспанова Т.Б.</t>
  </si>
  <si>
    <t xml:space="preserve">Коэффициент </t>
  </si>
  <si>
    <t>А1-4</t>
  </si>
  <si>
    <t>Коэффициент</t>
  </si>
  <si>
    <t>пед стаж</t>
  </si>
  <si>
    <t xml:space="preserve">на  1 сентября,  2019 года </t>
  </si>
  <si>
    <t xml:space="preserve">на 1 сентября, 2019 года </t>
  </si>
  <si>
    <t>33,00,05</t>
  </si>
  <si>
    <t>36,00,4</t>
  </si>
  <si>
    <t>24,00,06</t>
  </si>
  <si>
    <t>15,02,6</t>
  </si>
  <si>
    <t>11,00,12</t>
  </si>
  <si>
    <t>19,07,20</t>
  </si>
  <si>
    <t>34,00,17</t>
  </si>
  <si>
    <t>37,00,13</t>
  </si>
  <si>
    <t>02,00,0</t>
  </si>
  <si>
    <t>02,04,0</t>
  </si>
  <si>
    <t>27,00,21</t>
  </si>
  <si>
    <t>25,08,19</t>
  </si>
  <si>
    <t>34,10,12</t>
  </si>
  <si>
    <t>15,10,08</t>
  </si>
  <si>
    <t>00,01,00</t>
  </si>
  <si>
    <t>0,01,0</t>
  </si>
  <si>
    <t>24,00,7</t>
  </si>
  <si>
    <t>9,00,4</t>
  </si>
  <si>
    <t>секция шахмат</t>
  </si>
  <si>
    <t>9,07,02</t>
  </si>
  <si>
    <t>английский язык</t>
  </si>
  <si>
    <t>08,8,4</t>
  </si>
  <si>
    <t>КПП</t>
  </si>
  <si>
    <t xml:space="preserve">3 класс </t>
  </si>
  <si>
    <t>кл.рук.</t>
  </si>
  <si>
    <t>Адрес учреждения с.Шили, ул.Ленина 7,Наурзумский район</t>
  </si>
  <si>
    <t xml:space="preserve">на  01 сентября , 2019 года </t>
  </si>
  <si>
    <t>рус.яз.,самопознание</t>
  </si>
  <si>
    <t>0,0,0</t>
  </si>
  <si>
    <t>после-среднее</t>
  </si>
  <si>
    <t>после- среднее</t>
  </si>
  <si>
    <t>после -среднее</t>
  </si>
  <si>
    <t>худ. труд ,технология</t>
  </si>
  <si>
    <t>худож. труд,технология</t>
  </si>
  <si>
    <t>рус.яз и лит-ра</t>
  </si>
  <si>
    <t>информатика</t>
  </si>
  <si>
    <t>художественный труд,технология</t>
  </si>
  <si>
    <t>Адрес учреждения с.Шили, ул.Ленина, дом  7,Наурзумский район</t>
  </si>
  <si>
    <t>00,00,00</t>
  </si>
  <si>
    <t>15,10,8</t>
  </si>
  <si>
    <t>25,8,19</t>
  </si>
  <si>
    <t>12,7,7</t>
  </si>
  <si>
    <t>27,03,8</t>
  </si>
  <si>
    <t>0,0,0,</t>
  </si>
  <si>
    <t>6,07,08</t>
  </si>
  <si>
    <t>16,02,6</t>
  </si>
  <si>
    <t>25,03,10</t>
  </si>
  <si>
    <t>11,11,7</t>
  </si>
  <si>
    <t>7,0,19</t>
  </si>
  <si>
    <t xml:space="preserve">Инклюз часы </t>
  </si>
  <si>
    <t>Инклюз 40%</t>
  </si>
  <si>
    <t xml:space="preserve">обновленка </t>
  </si>
  <si>
    <t>Модератор 30%</t>
  </si>
  <si>
    <t>Эксперт 35%</t>
  </si>
  <si>
    <t xml:space="preserve">Языковые курсы </t>
  </si>
  <si>
    <t>Ислледователь 40%</t>
  </si>
  <si>
    <t>пед. Ст</t>
  </si>
  <si>
    <t xml:space="preserve">часы </t>
  </si>
  <si>
    <t>Инклюзив 40%</t>
  </si>
  <si>
    <t>x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</si>
</sst>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_(* #,##0.0_);_(* \(#,##0.0\);_(* &quot;-&quot;??_);_(@_)"/>
  </numFmts>
  <fonts count="88">
    <font>
      <sz val="10"/>
      <name val="Arial Cyr"/>
      <charset val="204"/>
    </font>
    <font>
      <sz val="10"/>
      <name val="Arial Cyr"/>
      <charset val="204"/>
    </font>
    <font>
      <sz val="8"/>
      <name val="Antique Olive"/>
      <family val="2"/>
    </font>
    <font>
      <sz val="10"/>
      <name val="Helv"/>
      <charset val="204"/>
    </font>
    <font>
      <sz val="7"/>
      <name val="Antique Olive"/>
      <family val="2"/>
    </font>
    <font>
      <b/>
      <sz val="10"/>
      <name val="Antique Olive"/>
      <charset val="204"/>
    </font>
    <font>
      <sz val="10"/>
      <name val="Antique Olive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8"/>
      <name val="Antique Olive"/>
      <family val="2"/>
    </font>
    <font>
      <sz val="6.5"/>
      <name val="Antique Olive"/>
      <family val="2"/>
    </font>
    <font>
      <sz val="10"/>
      <name val="Arial"/>
      <family val="2"/>
      <charset val="204"/>
    </font>
    <font>
      <b/>
      <sz val="8"/>
      <name val="Antique Olive"/>
      <charset val="204"/>
    </font>
    <font>
      <b/>
      <sz val="10"/>
      <name val="Antique Olive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7"/>
      <name val="Antique Olive"/>
      <charset val="204"/>
    </font>
    <font>
      <b/>
      <sz val="9"/>
      <name val="Antique Olive"/>
      <charset val="204"/>
    </font>
    <font>
      <b/>
      <sz val="10"/>
      <name val="Arial"/>
      <family val="2"/>
      <charset val="204"/>
    </font>
    <font>
      <sz val="6"/>
      <name val="Antique Olive"/>
      <family val="2"/>
    </font>
    <font>
      <b/>
      <sz val="6"/>
      <name val="Antique Olive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9"/>
      <name val="Antique Olive"/>
      <family val="2"/>
    </font>
    <font>
      <b/>
      <sz val="10"/>
      <name val="Arial"/>
      <family val="2"/>
    </font>
    <font>
      <sz val="8"/>
      <name val="Arial Cyr"/>
      <charset val="204"/>
    </font>
    <font>
      <b/>
      <sz val="8"/>
      <name val="Arial"/>
      <family val="2"/>
      <charset val="204"/>
    </font>
    <font>
      <sz val="9"/>
      <name val="Antique Olive"/>
      <family val="2"/>
    </font>
    <font>
      <sz val="9"/>
      <name val="Antique Olive"/>
      <charset val="204"/>
    </font>
    <font>
      <b/>
      <sz val="7"/>
      <name val="Antique Olive"/>
      <family val="2"/>
    </font>
    <font>
      <sz val="10"/>
      <name val="Antique Olive"/>
      <charset val="204"/>
    </font>
    <font>
      <sz val="10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6"/>
      <name val="Antique Olive"/>
      <family val="2"/>
    </font>
    <font>
      <sz val="10"/>
      <name val="Times New Roman"/>
      <family val="1"/>
      <charset val="204"/>
    </font>
    <font>
      <b/>
      <sz val="10"/>
      <name val="Helv"/>
      <charset val="204"/>
    </font>
    <font>
      <sz val="10"/>
      <name val="Arial Cyr"/>
      <charset val="204"/>
    </font>
    <font>
      <sz val="9"/>
      <name val="Helv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Antique Olive"/>
      <family val="2"/>
    </font>
    <font>
      <b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6"/>
      <name val="Antique Olive"/>
      <family val="2"/>
    </font>
    <font>
      <b/>
      <sz val="9"/>
      <name val="Helv"/>
      <charset val="204"/>
    </font>
    <font>
      <b/>
      <sz val="10"/>
      <name val="Arial Cyr"/>
      <charset val="204"/>
    </font>
    <font>
      <b/>
      <u/>
      <sz val="7"/>
      <name val="Antique Olive"/>
      <charset val="204"/>
    </font>
    <font>
      <u/>
      <sz val="8"/>
      <name val="Arial"/>
      <family val="2"/>
      <charset val="204"/>
    </font>
    <font>
      <sz val="8"/>
      <name val="Helv"/>
      <charset val="204"/>
    </font>
    <font>
      <b/>
      <u/>
      <sz val="7"/>
      <name val="Antique Olive"/>
      <family val="2"/>
    </font>
    <font>
      <u/>
      <sz val="7"/>
      <name val="Antique Olive"/>
      <family val="2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ntique Olive"/>
      <charset val="204"/>
    </font>
    <font>
      <b/>
      <sz val="11"/>
      <name val="Antique Olive"/>
      <family val="2"/>
    </font>
    <font>
      <sz val="11"/>
      <name val="Times New Roman"/>
      <family val="1"/>
      <charset val="204"/>
    </font>
    <font>
      <sz val="11"/>
      <name val="Antique Olive"/>
      <family val="2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ntique Olive"/>
      <family val="2"/>
    </font>
    <font>
      <sz val="12"/>
      <color theme="1"/>
      <name val="Times New Roman"/>
      <family val="1"/>
      <charset val="204"/>
    </font>
    <font>
      <sz val="11"/>
      <color theme="1"/>
      <name val="Antique Olive"/>
      <family val="2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ntique Olive"/>
      <family val="2"/>
    </font>
    <font>
      <b/>
      <sz val="14"/>
      <name val="Antique Olive"/>
      <family val="2"/>
    </font>
    <font>
      <b/>
      <sz val="14"/>
      <name val="Antique Olive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7" fillId="0" borderId="0"/>
    <xf numFmtId="43" fontId="1" fillId="0" borderId="0" applyFont="0" applyFill="0" applyBorder="0" applyAlignment="0" applyProtection="0"/>
  </cellStyleXfs>
  <cellXfs count="137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" fontId="2" fillId="2" borderId="2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9" fontId="2" fillId="0" borderId="2" xfId="0" applyNumberFormat="1" applyFont="1" applyFill="1" applyBorder="1"/>
    <xf numFmtId="9" fontId="7" fillId="0" borderId="7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9" fontId="2" fillId="0" borderId="9" xfId="0" applyNumberFormat="1" applyFont="1" applyFill="1" applyBorder="1"/>
    <xf numFmtId="0" fontId="16" fillId="0" borderId="2" xfId="0" applyNumberFormat="1" applyFont="1" applyFill="1" applyBorder="1"/>
    <xf numFmtId="1" fontId="16" fillId="0" borderId="2" xfId="0" applyNumberFormat="1" applyFont="1" applyFill="1" applyBorder="1"/>
    <xf numFmtId="0" fontId="2" fillId="0" borderId="2" xfId="0" applyNumberFormat="1" applyFont="1" applyFill="1" applyBorder="1"/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Alignment="1"/>
    <xf numFmtId="0" fontId="11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18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" xfId="0" applyFont="1" applyFill="1" applyBorder="1"/>
    <xf numFmtId="1" fontId="6" fillId="2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20" fillId="0" borderId="2" xfId="0" applyFont="1" applyFill="1" applyBorder="1"/>
    <xf numFmtId="9" fontId="20" fillId="0" borderId="9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0" fillId="0" borderId="3" xfId="0" applyFont="1" applyFill="1" applyBorder="1"/>
    <xf numFmtId="9" fontId="20" fillId="0" borderId="3" xfId="0" applyNumberFormat="1" applyFont="1" applyFill="1" applyBorder="1"/>
    <xf numFmtId="9" fontId="20" fillId="0" borderId="8" xfId="0" applyNumberFormat="1" applyFont="1" applyFill="1" applyBorder="1"/>
    <xf numFmtId="0" fontId="20" fillId="0" borderId="1" xfId="0" applyFont="1" applyFill="1" applyBorder="1"/>
    <xf numFmtId="0" fontId="20" fillId="0" borderId="3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1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/>
    <xf numFmtId="1" fontId="23" fillId="0" borderId="2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9" fillId="0" borderId="0" xfId="0" applyFont="1" applyFill="1"/>
    <xf numFmtId="1" fontId="23" fillId="0" borderId="1" xfId="0" applyNumberFormat="1" applyFont="1" applyFill="1" applyBorder="1" applyAlignment="1">
      <alignment horizontal="center"/>
    </xf>
    <xf numFmtId="1" fontId="23" fillId="0" borderId="2" xfId="0" applyNumberFormat="1" applyFont="1" applyFill="1" applyBorder="1" applyAlignment="1">
      <alignment horizontal="right"/>
    </xf>
    <xf numFmtId="0" fontId="24" fillId="0" borderId="0" xfId="0" applyFont="1"/>
    <xf numFmtId="0" fontId="7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9" fontId="2" fillId="2" borderId="9" xfId="0" applyNumberFormat="1" applyFont="1" applyFill="1" applyBorder="1"/>
    <xf numFmtId="1" fontId="16" fillId="2" borderId="1" xfId="0" applyNumberFormat="1" applyFont="1" applyFill="1" applyBorder="1"/>
    <xf numFmtId="0" fontId="18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6" fillId="2" borderId="9" xfId="0" applyNumberFormat="1" applyFont="1" applyFill="1" applyBorder="1"/>
    <xf numFmtId="1" fontId="16" fillId="2" borderId="12" xfId="0" applyNumberFormat="1" applyFont="1" applyFill="1" applyBorder="1"/>
    <xf numFmtId="0" fontId="16" fillId="2" borderId="2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3" fillId="2" borderId="0" xfId="0" applyFont="1" applyFill="1"/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/>
    <xf numFmtId="0" fontId="31" fillId="0" borderId="2" xfId="0" applyFont="1" applyFill="1" applyBorder="1"/>
    <xf numFmtId="1" fontId="31" fillId="0" borderId="2" xfId="0" applyNumberFormat="1" applyFont="1" applyFill="1" applyBorder="1"/>
    <xf numFmtId="9" fontId="31" fillId="0" borderId="8" xfId="0" applyNumberFormat="1" applyFont="1" applyFill="1" applyBorder="1"/>
    <xf numFmtId="49" fontId="2" fillId="0" borderId="2" xfId="0" applyNumberFormat="1" applyFont="1" applyFill="1" applyBorder="1"/>
    <xf numFmtId="0" fontId="9" fillId="0" borderId="0" xfId="0" applyFont="1" applyFill="1"/>
    <xf numFmtId="0" fontId="7" fillId="0" borderId="2" xfId="0" applyFont="1" applyFill="1" applyBorder="1"/>
    <xf numFmtId="0" fontId="9" fillId="0" borderId="2" xfId="0" applyFont="1" applyFill="1" applyBorder="1"/>
    <xf numFmtId="0" fontId="13" fillId="0" borderId="0" xfId="0" applyFont="1" applyFill="1" applyBorder="1"/>
    <xf numFmtId="0" fontId="6" fillId="2" borderId="3" xfId="0" applyFont="1" applyFill="1" applyBorder="1"/>
    <xf numFmtId="0" fontId="28" fillId="2" borderId="2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/>
    <xf numFmtId="49" fontId="36" fillId="0" borderId="2" xfId="0" applyNumberFormat="1" applyFont="1" applyFill="1" applyBorder="1"/>
    <xf numFmtId="0" fontId="36" fillId="0" borderId="0" xfId="0" applyFont="1" applyFill="1" applyBorder="1"/>
    <xf numFmtId="0" fontId="36" fillId="0" borderId="9" xfId="0" applyFont="1" applyFill="1" applyBorder="1"/>
    <xf numFmtId="9" fontId="36" fillId="0" borderId="0" xfId="0" applyNumberFormat="1" applyFont="1" applyFill="1"/>
    <xf numFmtId="0" fontId="37" fillId="0" borderId="0" xfId="0" applyFont="1" applyFill="1"/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wrapText="1"/>
    </xf>
    <xf numFmtId="9" fontId="36" fillId="0" borderId="1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3" xfId="0" applyFont="1" applyFill="1" applyBorder="1" applyAlignment="1"/>
    <xf numFmtId="0" fontId="36" fillId="0" borderId="14" xfId="0" applyFont="1" applyFill="1" applyBorder="1" applyAlignment="1"/>
    <xf numFmtId="0" fontId="36" fillId="0" borderId="9" xfId="0" applyFont="1" applyFill="1" applyBorder="1" applyAlignment="1"/>
    <xf numFmtId="0" fontId="36" fillId="0" borderId="14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left" wrapText="1"/>
    </xf>
    <xf numFmtId="0" fontId="36" fillId="0" borderId="7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 wrapText="1"/>
    </xf>
    <xf numFmtId="9" fontId="36" fillId="0" borderId="3" xfId="0" applyNumberFormat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3" xfId="0" applyFont="1" applyFill="1" applyBorder="1" applyAlignment="1">
      <alignment wrapText="1"/>
    </xf>
    <xf numFmtId="0" fontId="37" fillId="0" borderId="4" xfId="0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center" wrapText="1"/>
    </xf>
    <xf numFmtId="49" fontId="36" fillId="0" borderId="5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left"/>
    </xf>
    <xf numFmtId="0" fontId="36" fillId="0" borderId="8" xfId="0" applyFont="1" applyFill="1" applyBorder="1" applyAlignment="1">
      <alignment horizontal="left" wrapText="1"/>
    </xf>
    <xf numFmtId="0" fontId="36" fillId="0" borderId="6" xfId="0" applyFont="1" applyFill="1" applyBorder="1" applyAlignment="1">
      <alignment horizontal="left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 wrapText="1"/>
    </xf>
    <xf numFmtId="9" fontId="36" fillId="0" borderId="8" xfId="0" applyNumberFormat="1" applyFont="1" applyFill="1" applyBorder="1" applyAlignment="1">
      <alignment horizontal="center"/>
    </xf>
    <xf numFmtId="0" fontId="36" fillId="0" borderId="8" xfId="0" applyFont="1" applyFill="1" applyBorder="1"/>
    <xf numFmtId="0" fontId="36" fillId="0" borderId="8" xfId="0" applyFont="1" applyFill="1" applyBorder="1" applyAlignment="1">
      <alignment wrapText="1"/>
    </xf>
    <xf numFmtId="9" fontId="36" fillId="0" borderId="2" xfId="0" applyNumberFormat="1" applyFont="1" applyFill="1" applyBorder="1"/>
    <xf numFmtId="10" fontId="36" fillId="0" borderId="13" xfId="0" applyNumberFormat="1" applyFont="1" applyFill="1" applyBorder="1"/>
    <xf numFmtId="9" fontId="36" fillId="0" borderId="9" xfId="0" applyNumberFormat="1" applyFont="1" applyFill="1" applyBorder="1"/>
    <xf numFmtId="9" fontId="36" fillId="0" borderId="2" xfId="0" applyNumberFormat="1" applyFont="1" applyFill="1" applyBorder="1" applyAlignment="1">
      <alignment horizontal="center"/>
    </xf>
    <xf numFmtId="9" fontId="36" fillId="0" borderId="13" xfId="0" applyNumberFormat="1" applyFont="1" applyFill="1" applyBorder="1"/>
    <xf numFmtId="0" fontId="36" fillId="0" borderId="12" xfId="0" applyFont="1" applyFill="1" applyBorder="1" applyAlignment="1">
      <alignment horizontal="left"/>
    </xf>
    <xf numFmtId="0" fontId="36" fillId="0" borderId="1" xfId="0" applyFont="1" applyFill="1" applyBorder="1"/>
    <xf numFmtId="1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 wrapText="1"/>
    </xf>
    <xf numFmtId="1" fontId="36" fillId="0" borderId="9" xfId="0" applyNumberFormat="1" applyFont="1" applyFill="1" applyBorder="1"/>
    <xf numFmtId="1" fontId="36" fillId="0" borderId="12" xfId="0" applyNumberFormat="1" applyFont="1" applyFill="1" applyBorder="1"/>
    <xf numFmtId="1" fontId="36" fillId="0" borderId="1" xfId="0" applyNumberFormat="1" applyFont="1" applyFill="1" applyBorder="1"/>
    <xf numFmtId="0" fontId="36" fillId="0" borderId="2" xfId="0" applyNumberFormat="1" applyFont="1" applyFill="1" applyBorder="1"/>
    <xf numFmtId="1" fontId="36" fillId="0" borderId="11" xfId="0" applyNumberFormat="1" applyFont="1" applyFill="1" applyBorder="1"/>
    <xf numFmtId="1" fontId="36" fillId="0" borderId="2" xfId="0" applyNumberFormat="1" applyFont="1" applyFill="1" applyBorder="1"/>
    <xf numFmtId="0" fontId="36" fillId="0" borderId="11" xfId="0" applyFont="1" applyFill="1" applyBorder="1"/>
    <xf numFmtId="0" fontId="36" fillId="0" borderId="0" xfId="0" applyFont="1" applyFill="1" applyAlignment="1">
      <alignment horizontal="center"/>
    </xf>
    <xf numFmtId="0" fontId="36" fillId="0" borderId="14" xfId="0" applyFont="1" applyFill="1" applyBorder="1"/>
    <xf numFmtId="0" fontId="36" fillId="0" borderId="2" xfId="0" applyFont="1" applyFill="1" applyBorder="1" applyAlignment="1">
      <alignment horizontal="left" wrapText="1"/>
    </xf>
    <xf numFmtId="2" fontId="36" fillId="0" borderId="2" xfId="0" applyNumberFormat="1" applyFont="1" applyFill="1" applyBorder="1"/>
    <xf numFmtId="1" fontId="36" fillId="0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/>
    </xf>
    <xf numFmtId="9" fontId="36" fillId="0" borderId="0" xfId="0" applyNumberFormat="1" applyFont="1" applyFill="1" applyBorder="1"/>
    <xf numFmtId="164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/>
    <xf numFmtId="1" fontId="36" fillId="0" borderId="0" xfId="0" applyNumberFormat="1" applyFont="1" applyFill="1"/>
    <xf numFmtId="1" fontId="19" fillId="0" borderId="0" xfId="0" applyNumberFormat="1" applyFont="1" applyFill="1" applyBorder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9" fontId="38" fillId="0" borderId="0" xfId="0" applyNumberFormat="1" applyFont="1" applyFill="1"/>
    <xf numFmtId="0" fontId="38" fillId="0" borderId="13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0" fontId="38" fillId="0" borderId="2" xfId="0" applyFont="1" applyFill="1" applyBorder="1"/>
    <xf numFmtId="49" fontId="38" fillId="0" borderId="2" xfId="0" applyNumberFormat="1" applyFont="1" applyFill="1" applyBorder="1"/>
    <xf numFmtId="0" fontId="39" fillId="0" borderId="0" xfId="0" applyFont="1" applyFill="1"/>
    <xf numFmtId="1" fontId="38" fillId="0" borderId="2" xfId="0" applyNumberFormat="1" applyFont="1" applyFill="1" applyBorder="1"/>
    <xf numFmtId="0" fontId="38" fillId="0" borderId="0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9" fontId="38" fillId="0" borderId="2" xfId="0" applyNumberFormat="1" applyFont="1" applyFill="1" applyBorder="1"/>
    <xf numFmtId="9" fontId="38" fillId="0" borderId="13" xfId="0" applyNumberFormat="1" applyFont="1" applyFill="1" applyBorder="1"/>
    <xf numFmtId="0" fontId="39" fillId="0" borderId="2" xfId="0" applyFont="1" applyFill="1" applyBorder="1"/>
    <xf numFmtId="1" fontId="38" fillId="0" borderId="0" xfId="0" applyNumberFormat="1" applyFont="1" applyFill="1"/>
    <xf numFmtId="0" fontId="40" fillId="0" borderId="0" xfId="0" applyFont="1" applyFill="1"/>
    <xf numFmtId="1" fontId="4" fillId="2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2" xfId="0" applyFont="1" applyFill="1" applyBorder="1"/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49" fontId="20" fillId="0" borderId="2" xfId="0" applyNumberFormat="1" applyFont="1" applyFill="1" applyBorder="1"/>
    <xf numFmtId="9" fontId="20" fillId="0" borderId="0" xfId="0" applyNumberFormat="1" applyFont="1" applyFill="1"/>
    <xf numFmtId="0" fontId="20" fillId="0" borderId="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9" fontId="43" fillId="0" borderId="7" xfId="0" applyNumberFormat="1" applyFont="1" applyFill="1" applyBorder="1" applyAlignment="1">
      <alignment horizontal="center" wrapText="1"/>
    </xf>
    <xf numFmtId="165" fontId="43" fillId="0" borderId="7" xfId="0" applyNumberFormat="1" applyFont="1" applyFill="1" applyBorder="1" applyAlignment="1">
      <alignment horizontal="center" wrapText="1"/>
    </xf>
    <xf numFmtId="0" fontId="43" fillId="0" borderId="8" xfId="0" applyFont="1" applyFill="1" applyBorder="1" applyAlignment="1">
      <alignment horizontal="center"/>
    </xf>
    <xf numFmtId="9" fontId="42" fillId="0" borderId="2" xfId="0" applyNumberFormat="1" applyFont="1" applyFill="1" applyBorder="1"/>
    <xf numFmtId="0" fontId="42" fillId="0" borderId="2" xfId="0" applyFont="1" applyFill="1" applyBorder="1"/>
    <xf numFmtId="9" fontId="42" fillId="0" borderId="13" xfId="0" applyNumberFormat="1" applyFont="1" applyFill="1" applyBorder="1"/>
    <xf numFmtId="0" fontId="43" fillId="0" borderId="2" xfId="0" applyFont="1" applyFill="1" applyBorder="1"/>
    <xf numFmtId="0" fontId="20" fillId="0" borderId="0" xfId="0" applyFont="1" applyFill="1" applyBorder="1" applyAlignment="1">
      <alignment horizontal="center"/>
    </xf>
    <xf numFmtId="9" fontId="20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42" fillId="0" borderId="2" xfId="0" applyNumberFormat="1" applyFont="1" applyFill="1" applyBorder="1" applyAlignment="1">
      <alignment horizontal="center" wrapText="1"/>
    </xf>
    <xf numFmtId="1" fontId="42" fillId="0" borderId="9" xfId="0" applyNumberFormat="1" applyFont="1" applyFill="1" applyBorder="1"/>
    <xf numFmtId="1" fontId="42" fillId="0" borderId="12" xfId="0" applyNumberFormat="1" applyFont="1" applyFill="1" applyBorder="1"/>
    <xf numFmtId="1" fontId="42" fillId="0" borderId="1" xfId="0" applyNumberFormat="1" applyFont="1" applyFill="1" applyBorder="1"/>
    <xf numFmtId="1" fontId="42" fillId="0" borderId="11" xfId="0" applyNumberFormat="1" applyFont="1" applyFill="1" applyBorder="1"/>
    <xf numFmtId="0" fontId="42" fillId="0" borderId="1" xfId="0" applyFont="1" applyFill="1" applyBorder="1"/>
    <xf numFmtId="1" fontId="42" fillId="0" borderId="2" xfId="0" applyNumberFormat="1" applyFont="1" applyFill="1" applyBorder="1"/>
    <xf numFmtId="9" fontId="42" fillId="0" borderId="11" xfId="0" applyNumberFormat="1" applyFont="1" applyFill="1" applyBorder="1"/>
    <xf numFmtId="9" fontId="42" fillId="0" borderId="1" xfId="0" applyNumberFormat="1" applyFont="1" applyFill="1" applyBorder="1"/>
    <xf numFmtId="0" fontId="43" fillId="0" borderId="9" xfId="0" applyFont="1" applyFill="1" applyBorder="1"/>
    <xf numFmtId="0" fontId="20" fillId="0" borderId="11" xfId="0" applyFont="1" applyFill="1" applyBorder="1"/>
    <xf numFmtId="9" fontId="20" fillId="0" borderId="11" xfId="0" applyNumberFormat="1" applyFont="1" applyFill="1" applyBorder="1"/>
    <xf numFmtId="0" fontId="42" fillId="0" borderId="1" xfId="0" applyNumberFormat="1" applyFont="1" applyFill="1" applyBorder="1"/>
    <xf numFmtId="9" fontId="20" fillId="0" borderId="1" xfId="0" applyNumberFormat="1" applyFont="1" applyFill="1" applyBorder="1"/>
    <xf numFmtId="1" fontId="42" fillId="0" borderId="1" xfId="0" applyNumberFormat="1" applyFont="1" applyFill="1" applyBorder="1" applyAlignment="1">
      <alignment horizontal="center" wrapText="1"/>
    </xf>
    <xf numFmtId="9" fontId="20" fillId="0" borderId="10" xfId="0" applyNumberFormat="1" applyFont="1" applyFill="1" applyBorder="1"/>
    <xf numFmtId="1" fontId="42" fillId="0" borderId="10" xfId="0" applyNumberFormat="1" applyFont="1" applyFill="1" applyBorder="1"/>
    <xf numFmtId="0" fontId="42" fillId="0" borderId="11" xfId="0" applyNumberFormat="1" applyFont="1" applyFill="1" applyBorder="1"/>
    <xf numFmtId="0" fontId="42" fillId="0" borderId="12" xfId="0" applyNumberFormat="1" applyFont="1" applyFill="1" applyBorder="1"/>
    <xf numFmtId="0" fontId="43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10" xfId="0" applyFont="1" applyFill="1" applyBorder="1"/>
    <xf numFmtId="0" fontId="44" fillId="0" borderId="0" xfId="0" applyFont="1" applyFill="1" applyBorder="1"/>
    <xf numFmtId="10" fontId="20" fillId="0" borderId="0" xfId="0" applyNumberFormat="1" applyFont="1" applyFill="1" applyBorder="1"/>
    <xf numFmtId="0" fontId="22" fillId="0" borderId="0" xfId="0" applyFont="1" applyFill="1"/>
    <xf numFmtId="0" fontId="13" fillId="0" borderId="0" xfId="0" applyFont="1" applyFill="1" applyAlignment="1">
      <alignment horizontal="left"/>
    </xf>
    <xf numFmtId="1" fontId="20" fillId="0" borderId="0" xfId="0" applyNumberFormat="1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/>
    <xf numFmtId="0" fontId="4" fillId="2" borderId="9" xfId="0" applyFont="1" applyFill="1" applyBorder="1"/>
    <xf numFmtId="49" fontId="4" fillId="2" borderId="2" xfId="0" applyNumberFormat="1" applyFont="1" applyFill="1" applyBorder="1" applyAlignment="1">
      <alignment horizontal="center"/>
    </xf>
    <xf numFmtId="0" fontId="27" fillId="2" borderId="0" xfId="0" applyFont="1" applyFill="1"/>
    <xf numFmtId="10" fontId="27" fillId="2" borderId="0" xfId="0" applyNumberFormat="1" applyFont="1" applyFill="1"/>
    <xf numFmtId="10" fontId="2" fillId="2" borderId="0" xfId="0" applyNumberFormat="1" applyFont="1" applyFill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/>
    <xf numFmtId="0" fontId="10" fillId="2" borderId="8" xfId="0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 wrapText="1"/>
    </xf>
    <xf numFmtId="165" fontId="7" fillId="2" borderId="7" xfId="0" applyNumberFormat="1" applyFont="1" applyFill="1" applyBorder="1" applyAlignment="1">
      <alignment horizontal="center" wrapText="1"/>
    </xf>
    <xf numFmtId="0" fontId="7" fillId="2" borderId="8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0" fontId="10" fillId="2" borderId="2" xfId="0" applyNumberFormat="1" applyFont="1" applyFill="1" applyBorder="1" applyAlignment="1">
      <alignment horizontal="center"/>
    </xf>
    <xf numFmtId="9" fontId="16" fillId="2" borderId="10" xfId="0" applyNumberFormat="1" applyFont="1" applyFill="1" applyBorder="1"/>
    <xf numFmtId="9" fontId="16" fillId="2" borderId="1" xfId="0" applyNumberFormat="1" applyFont="1" applyFill="1" applyBorder="1"/>
    <xf numFmtId="1" fontId="16" fillId="2" borderId="10" xfId="0" applyNumberFormat="1" applyFont="1" applyFill="1" applyBorder="1"/>
    <xf numFmtId="0" fontId="16" fillId="2" borderId="1" xfId="0" applyNumberFormat="1" applyFont="1" applyFill="1" applyBorder="1"/>
    <xf numFmtId="0" fontId="16" fillId="2" borderId="10" xfId="0" applyNumberFormat="1" applyFont="1" applyFill="1" applyBorder="1"/>
    <xf numFmtId="0" fontId="16" fillId="2" borderId="13" xfId="0" applyNumberFormat="1" applyFont="1" applyFill="1" applyBorder="1"/>
    <xf numFmtId="10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9" fontId="4" fillId="0" borderId="8" xfId="0" applyNumberFormat="1" applyFont="1" applyBorder="1"/>
    <xf numFmtId="1" fontId="7" fillId="2" borderId="2" xfId="0" applyNumberFormat="1" applyFont="1" applyFill="1" applyBorder="1" applyAlignment="1">
      <alignment horizontal="center" wrapText="1"/>
    </xf>
    <xf numFmtId="0" fontId="16" fillId="2" borderId="11" xfId="0" applyNumberFormat="1" applyFont="1" applyFill="1" applyBorder="1"/>
    <xf numFmtId="0" fontId="16" fillId="2" borderId="4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2" borderId="2" xfId="0" applyFont="1" applyFill="1" applyBorder="1"/>
    <xf numFmtId="0" fontId="3" fillId="2" borderId="0" xfId="0" applyFont="1" applyFill="1" applyAlignment="1">
      <alignment horizontal="center"/>
    </xf>
    <xf numFmtId="10" fontId="3" fillId="0" borderId="0" xfId="0" applyNumberFormat="1" applyFont="1"/>
    <xf numFmtId="0" fontId="33" fillId="2" borderId="0" xfId="0" applyFont="1" applyFill="1"/>
    <xf numFmtId="0" fontId="33" fillId="2" borderId="0" xfId="0" applyFont="1" applyFill="1" applyBorder="1"/>
    <xf numFmtId="165" fontId="7" fillId="0" borderId="7" xfId="0" applyNumberFormat="1" applyFont="1" applyFill="1" applyBorder="1" applyAlignment="1">
      <alignment horizontal="center"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9" fontId="31" fillId="0" borderId="2" xfId="0" applyNumberFormat="1" applyFont="1" applyFill="1" applyBorder="1"/>
    <xf numFmtId="0" fontId="15" fillId="0" borderId="2" xfId="0" applyFont="1" applyFill="1" applyBorder="1"/>
    <xf numFmtId="0" fontId="48" fillId="0" borderId="0" xfId="0" applyFont="1"/>
    <xf numFmtId="0" fontId="49" fillId="0" borderId="0" xfId="0" applyFont="1" applyFill="1"/>
    <xf numFmtId="0" fontId="50" fillId="0" borderId="0" xfId="0" applyFont="1" applyFill="1"/>
    <xf numFmtId="0" fontId="36" fillId="0" borderId="13" xfId="0" applyFont="1" applyFill="1" applyBorder="1" applyAlignment="1">
      <alignment horizontal="left"/>
    </xf>
    <xf numFmtId="1" fontId="51" fillId="0" borderId="2" xfId="0" applyNumberFormat="1" applyFont="1" applyFill="1" applyBorder="1" applyAlignment="1">
      <alignment horizontal="center"/>
    </xf>
    <xf numFmtId="0" fontId="51" fillId="0" borderId="2" xfId="0" applyFont="1" applyFill="1" applyBorder="1"/>
    <xf numFmtId="0" fontId="6" fillId="0" borderId="2" xfId="0" applyFont="1" applyFill="1" applyBorder="1" applyAlignment="1">
      <alignment horizontal="left"/>
    </xf>
    <xf numFmtId="1" fontId="6" fillId="0" borderId="0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11" fillId="0" borderId="0" xfId="0" applyFont="1"/>
    <xf numFmtId="0" fontId="45" fillId="0" borderId="0" xfId="0" applyFont="1" applyFill="1"/>
    <xf numFmtId="0" fontId="35" fillId="2" borderId="8" xfId="0" applyFont="1" applyFill="1" applyBorder="1" applyAlignment="1">
      <alignment horizontal="center" wrapText="1"/>
    </xf>
    <xf numFmtId="0" fontId="6" fillId="2" borderId="12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9" fontId="6" fillId="2" borderId="4" xfId="0" applyNumberFormat="1" applyFont="1" applyFill="1" applyBorder="1"/>
    <xf numFmtId="0" fontId="52" fillId="0" borderId="0" xfId="0" applyFont="1" applyBorder="1"/>
    <xf numFmtId="0" fontId="52" fillId="0" borderId="0" xfId="0" applyFont="1" applyFill="1" applyBorder="1"/>
    <xf numFmtId="0" fontId="31" fillId="3" borderId="2" xfId="0" applyFont="1" applyFill="1" applyBorder="1"/>
    <xf numFmtId="0" fontId="31" fillId="3" borderId="2" xfId="0" applyFont="1" applyFill="1" applyBorder="1" applyAlignment="1">
      <alignment horizontal="center"/>
    </xf>
    <xf numFmtId="164" fontId="31" fillId="0" borderId="2" xfId="0" applyNumberFormat="1" applyFont="1" applyFill="1" applyBorder="1"/>
    <xf numFmtId="0" fontId="34" fillId="0" borderId="0" xfId="0" applyFont="1" applyAlignment="1">
      <alignment horizontal="center"/>
    </xf>
    <xf numFmtId="1" fontId="26" fillId="0" borderId="2" xfId="0" applyNumberFormat="1" applyFont="1" applyFill="1" applyBorder="1" applyAlignment="1">
      <alignment horizontal="center" wrapText="1"/>
    </xf>
    <xf numFmtId="0" fontId="46" fillId="0" borderId="0" xfId="0" applyFont="1" applyFill="1"/>
    <xf numFmtId="1" fontId="33" fillId="0" borderId="0" xfId="0" applyNumberFormat="1" applyFont="1" applyFill="1" applyBorder="1"/>
    <xf numFmtId="1" fontId="4" fillId="0" borderId="0" xfId="0" applyNumberFormat="1" applyFont="1" applyFill="1" applyBorder="1"/>
    <xf numFmtId="0" fontId="34" fillId="0" borderId="2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0" xfId="0" applyFont="1" applyFill="1"/>
    <xf numFmtId="0" fontId="51" fillId="0" borderId="0" xfId="0" applyFont="1" applyFill="1" applyAlignment="1">
      <alignment horizontal="center"/>
    </xf>
    <xf numFmtId="9" fontId="51" fillId="0" borderId="0" xfId="0" applyNumberFormat="1" applyFont="1" applyFill="1"/>
    <xf numFmtId="0" fontId="53" fillId="0" borderId="0" xfId="0" applyFont="1" applyFill="1"/>
    <xf numFmtId="0" fontId="51" fillId="0" borderId="0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3" fillId="0" borderId="3" xfId="0" applyFont="1" applyFill="1" applyBorder="1" applyAlignment="1">
      <alignment horizontal="center"/>
    </xf>
    <xf numFmtId="0" fontId="53" fillId="0" borderId="3" xfId="0" applyFont="1" applyFill="1" applyBorder="1" applyAlignment="1">
      <alignment wrapText="1"/>
    </xf>
    <xf numFmtId="0" fontId="53" fillId="0" borderId="7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 wrapText="1"/>
    </xf>
    <xf numFmtId="0" fontId="53" fillId="0" borderId="5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wrapText="1"/>
    </xf>
    <xf numFmtId="0" fontId="53" fillId="0" borderId="4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0" fontId="53" fillId="0" borderId="8" xfId="0" applyFont="1" applyFill="1" applyBorder="1" applyAlignment="1">
      <alignment wrapText="1"/>
    </xf>
    <xf numFmtId="0" fontId="53" fillId="0" borderId="1" xfId="0" applyFont="1" applyFill="1" applyBorder="1" applyAlignment="1">
      <alignment wrapText="1"/>
    </xf>
    <xf numFmtId="9" fontId="53" fillId="0" borderId="7" xfId="0" applyNumberFormat="1" applyFont="1" applyFill="1" applyBorder="1" applyAlignment="1">
      <alignment horizontal="center" wrapText="1"/>
    </xf>
    <xf numFmtId="165" fontId="53" fillId="0" borderId="7" xfId="0" applyNumberFormat="1" applyFont="1" applyFill="1" applyBorder="1" applyAlignment="1">
      <alignment horizontal="center" wrapText="1"/>
    </xf>
    <xf numFmtId="0" fontId="51" fillId="0" borderId="2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9" fontId="51" fillId="0" borderId="9" xfId="0" applyNumberFormat="1" applyFont="1" applyFill="1" applyBorder="1"/>
    <xf numFmtId="9" fontId="51" fillId="0" borderId="2" xfId="0" applyNumberFormat="1" applyFont="1" applyFill="1" applyBorder="1"/>
    <xf numFmtId="0" fontId="51" fillId="0" borderId="13" xfId="0" applyFont="1" applyFill="1" applyBorder="1"/>
    <xf numFmtId="164" fontId="51" fillId="0" borderId="2" xfId="0" applyNumberFormat="1" applyFont="1" applyFill="1" applyBorder="1"/>
    <xf numFmtId="1" fontId="51" fillId="0" borderId="2" xfId="0" applyNumberFormat="1" applyFont="1" applyFill="1" applyBorder="1"/>
    <xf numFmtId="0" fontId="51" fillId="0" borderId="2" xfId="0" applyFont="1" applyFill="1" applyBorder="1" applyAlignment="1">
      <alignment horizontal="left"/>
    </xf>
    <xf numFmtId="0" fontId="51" fillId="0" borderId="0" xfId="0" applyFont="1" applyFill="1" applyBorder="1"/>
    <xf numFmtId="0" fontId="51" fillId="0" borderId="0" xfId="0" applyFont="1" applyFill="1" applyAlignment="1">
      <alignment horizontal="left"/>
    </xf>
    <xf numFmtId="9" fontId="51" fillId="0" borderId="0" xfId="0" applyNumberFormat="1" applyFont="1" applyFill="1" applyBorder="1"/>
    <xf numFmtId="1" fontId="51" fillId="0" borderId="0" xfId="0" applyNumberFormat="1" applyFont="1" applyFill="1"/>
    <xf numFmtId="1" fontId="51" fillId="0" borderId="0" xfId="0" applyNumberFormat="1" applyFont="1" applyFill="1" applyBorder="1"/>
    <xf numFmtId="10" fontId="51" fillId="0" borderId="13" xfId="0" applyNumberFormat="1" applyFont="1" applyFill="1" applyBorder="1"/>
    <xf numFmtId="10" fontId="51" fillId="0" borderId="0" xfId="0" applyNumberFormat="1" applyFont="1" applyFill="1" applyBorder="1"/>
    <xf numFmtId="164" fontId="51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/>
    <xf numFmtId="1" fontId="38" fillId="0" borderId="0" xfId="0" applyNumberFormat="1" applyFont="1" applyFill="1" applyBorder="1"/>
    <xf numFmtId="164" fontId="20" fillId="0" borderId="0" xfId="0" applyNumberFormat="1" applyFont="1" applyFill="1"/>
    <xf numFmtId="0" fontId="37" fillId="0" borderId="0" xfId="0" applyFont="1" applyFill="1" applyAlignment="1"/>
    <xf numFmtId="9" fontId="37" fillId="0" borderId="0" xfId="0" applyNumberFormat="1" applyFont="1" applyFill="1"/>
    <xf numFmtId="2" fontId="31" fillId="3" borderId="2" xfId="0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2" fontId="31" fillId="3" borderId="2" xfId="0" applyNumberFormat="1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0" xfId="0" applyFont="1" applyFill="1" applyBorder="1" applyAlignment="1">
      <alignment horizontal="left"/>
    </xf>
    <xf numFmtId="0" fontId="20" fillId="3" borderId="2" xfId="0" applyFont="1" applyFill="1" applyBorder="1"/>
    <xf numFmtId="49" fontId="20" fillId="3" borderId="2" xfId="0" applyNumberFormat="1" applyFont="1" applyFill="1" applyBorder="1"/>
    <xf numFmtId="2" fontId="36" fillId="0" borderId="0" xfId="0" applyNumberFormat="1" applyFont="1" applyFill="1" applyBorder="1"/>
    <xf numFmtId="0" fontId="7" fillId="0" borderId="3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9" fontId="36" fillId="0" borderId="15" xfId="0" applyNumberFormat="1" applyFont="1" applyFill="1" applyBorder="1"/>
    <xf numFmtId="0" fontId="39" fillId="0" borderId="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9" fontId="38" fillId="0" borderId="4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5" fillId="0" borderId="0" xfId="0" applyFont="1" applyFill="1" applyBorder="1"/>
    <xf numFmtId="0" fontId="55" fillId="0" borderId="0" xfId="0" applyFont="1" applyFill="1"/>
    <xf numFmtId="0" fontId="55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/>
    </xf>
    <xf numFmtId="0" fontId="55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8" xfId="0" applyFont="1" applyFill="1" applyBorder="1"/>
    <xf numFmtId="9" fontId="9" fillId="0" borderId="8" xfId="0" applyNumberFormat="1" applyFont="1" applyFill="1" applyBorder="1"/>
    <xf numFmtId="0" fontId="5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9" fontId="9" fillId="0" borderId="9" xfId="0" applyNumberFormat="1" applyFont="1" applyFill="1" applyBorder="1"/>
    <xf numFmtId="9" fontId="7" fillId="0" borderId="9" xfId="0" applyNumberFormat="1" applyFont="1" applyFill="1" applyBorder="1"/>
    <xf numFmtId="9" fontId="7" fillId="0" borderId="2" xfId="0" applyNumberFormat="1" applyFont="1" applyFill="1" applyBorder="1"/>
    <xf numFmtId="9" fontId="7" fillId="0" borderId="13" xfId="0" applyNumberFormat="1" applyFont="1" applyFill="1" applyBorder="1"/>
    <xf numFmtId="0" fontId="55" fillId="0" borderId="0" xfId="0" applyFont="1" applyFill="1" applyBorder="1" applyAlignment="1">
      <alignment horizontal="center"/>
    </xf>
    <xf numFmtId="1" fontId="8" fillId="0" borderId="0" xfId="0" applyNumberFormat="1" applyFont="1" applyFill="1" applyBorder="1"/>
    <xf numFmtId="1" fontId="15" fillId="0" borderId="0" xfId="0" applyNumberFormat="1" applyFont="1" applyFill="1" applyBorder="1"/>
    <xf numFmtId="0" fontId="37" fillId="0" borderId="3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wrapText="1"/>
    </xf>
    <xf numFmtId="0" fontId="37" fillId="0" borderId="7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wrapText="1"/>
    </xf>
    <xf numFmtId="49" fontId="37" fillId="0" borderId="5" xfId="0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left"/>
    </xf>
    <xf numFmtId="0" fontId="37" fillId="0" borderId="8" xfId="0" applyFont="1" applyFill="1" applyBorder="1" applyAlignment="1">
      <alignment horizontal="left" wrapText="1"/>
    </xf>
    <xf numFmtId="0" fontId="37" fillId="0" borderId="6" xfId="0" applyFont="1" applyFill="1" applyBorder="1" applyAlignment="1">
      <alignment horizontal="left"/>
    </xf>
    <xf numFmtId="9" fontId="37" fillId="0" borderId="8" xfId="0" applyNumberFormat="1" applyFont="1" applyFill="1" applyBorder="1" applyAlignment="1">
      <alignment horizontal="center"/>
    </xf>
    <xf numFmtId="0" fontId="37" fillId="0" borderId="8" xfId="0" applyFont="1" applyFill="1" applyBorder="1"/>
    <xf numFmtId="0" fontId="37" fillId="0" borderId="8" xfId="0" applyFont="1" applyFill="1" applyBorder="1" applyAlignment="1">
      <alignment wrapText="1"/>
    </xf>
    <xf numFmtId="9" fontId="37" fillId="0" borderId="2" xfId="0" applyNumberFormat="1" applyFont="1" applyFill="1" applyBorder="1"/>
    <xf numFmtId="10" fontId="37" fillId="0" borderId="13" xfId="0" applyNumberFormat="1" applyFont="1" applyFill="1" applyBorder="1"/>
    <xf numFmtId="9" fontId="37" fillId="0" borderId="9" xfId="0" applyNumberFormat="1" applyFont="1" applyFill="1" applyBorder="1"/>
    <xf numFmtId="0" fontId="37" fillId="0" borderId="0" xfId="0" applyFont="1" applyFill="1" applyBorder="1"/>
    <xf numFmtId="0" fontId="37" fillId="0" borderId="2" xfId="0" applyFont="1" applyFill="1" applyBorder="1" applyAlignment="1">
      <alignment horizontal="left"/>
    </xf>
    <xf numFmtId="9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/>
    <xf numFmtId="9" fontId="37" fillId="0" borderId="13" xfId="0" applyNumberFormat="1" applyFont="1" applyFill="1" applyBorder="1"/>
    <xf numFmtId="9" fontId="37" fillId="0" borderId="15" xfId="0" applyNumberFormat="1" applyFont="1" applyFill="1" applyBorder="1"/>
    <xf numFmtId="0" fontId="33" fillId="2" borderId="1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24" fillId="2" borderId="0" xfId="0" applyFont="1" applyFill="1"/>
    <xf numFmtId="0" fontId="31" fillId="0" borderId="1" xfId="0" applyFont="1" applyFill="1" applyBorder="1"/>
    <xf numFmtId="0" fontId="31" fillId="0" borderId="11" xfId="0" applyFont="1" applyFill="1" applyBorder="1"/>
    <xf numFmtId="0" fontId="17" fillId="0" borderId="2" xfId="0" applyFont="1" applyFill="1" applyBorder="1"/>
    <xf numFmtId="1" fontId="17" fillId="0" borderId="2" xfId="0" applyNumberFormat="1" applyFont="1" applyFill="1" applyBorder="1"/>
    <xf numFmtId="0" fontId="58" fillId="0" borderId="0" xfId="0" applyFont="1" applyFill="1" applyBorder="1"/>
    <xf numFmtId="0" fontId="17" fillId="0" borderId="0" xfId="0" applyFont="1" applyFill="1" applyBorder="1"/>
    <xf numFmtId="1" fontId="59" fillId="0" borderId="0" xfId="0" applyNumberFormat="1" applyFont="1" applyFill="1" applyBorder="1"/>
    <xf numFmtId="1" fontId="15" fillId="3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/>
    <xf numFmtId="0" fontId="26" fillId="0" borderId="2" xfId="0" applyFont="1" applyFill="1" applyBorder="1"/>
    <xf numFmtId="1" fontId="26" fillId="0" borderId="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9" fontId="31" fillId="0" borderId="0" xfId="0" applyNumberFormat="1" applyFont="1" applyFill="1"/>
    <xf numFmtId="0" fontId="25" fillId="0" borderId="11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2" fontId="31" fillId="0" borderId="2" xfId="0" applyNumberFormat="1" applyFont="1" applyFill="1" applyBorder="1" applyAlignment="1">
      <alignment horizontal="right"/>
    </xf>
    <xf numFmtId="1" fontId="31" fillId="0" borderId="2" xfId="0" applyNumberFormat="1" applyFont="1" applyFill="1" applyBorder="1" applyAlignment="1">
      <alignment horizontal="center"/>
    </xf>
    <xf numFmtId="9" fontId="31" fillId="0" borderId="2" xfId="0" applyNumberFormat="1" applyFont="1" applyFill="1" applyBorder="1" applyAlignment="1">
      <alignment horizontal="right"/>
    </xf>
    <xf numFmtId="9" fontId="26" fillId="0" borderId="2" xfId="0" applyNumberFormat="1" applyFont="1" applyFill="1" applyBorder="1" applyAlignment="1">
      <alignment horizontal="right" wrapText="1"/>
    </xf>
    <xf numFmtId="10" fontId="26" fillId="0" borderId="2" xfId="0" applyNumberFormat="1" applyFont="1" applyFill="1" applyBorder="1" applyAlignment="1">
      <alignment horizontal="right" wrapText="1"/>
    </xf>
    <xf numFmtId="1" fontId="26" fillId="0" borderId="2" xfId="0" applyNumberFormat="1" applyFont="1" applyFill="1" applyBorder="1"/>
    <xf numFmtId="1" fontId="26" fillId="0" borderId="1" xfId="0" applyNumberFormat="1" applyFont="1" applyFill="1" applyBorder="1"/>
    <xf numFmtId="1" fontId="26" fillId="0" borderId="11" xfId="0" applyNumberFormat="1" applyFont="1" applyFill="1" applyBorder="1"/>
    <xf numFmtId="0" fontId="26" fillId="0" borderId="2" xfId="0" applyNumberFormat="1" applyFont="1" applyFill="1" applyBorder="1"/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31" fillId="0" borderId="2" xfId="0" applyNumberFormat="1" applyFont="1" applyFill="1" applyBorder="1"/>
    <xf numFmtId="10" fontId="31" fillId="0" borderId="2" xfId="0" applyNumberFormat="1" applyFont="1" applyFill="1" applyBorder="1" applyAlignment="1">
      <alignment horizontal="right"/>
    </xf>
    <xf numFmtId="0" fontId="31" fillId="0" borderId="2" xfId="0" applyNumberFormat="1" applyFont="1" applyFill="1" applyBorder="1"/>
    <xf numFmtId="10" fontId="31" fillId="0" borderId="2" xfId="0" applyNumberFormat="1" applyFont="1" applyFill="1" applyBorder="1"/>
    <xf numFmtId="9" fontId="31" fillId="0" borderId="13" xfId="0" applyNumberFormat="1" applyFont="1" applyFill="1" applyBorder="1"/>
    <xf numFmtId="10" fontId="31" fillId="0" borderId="13" xfId="0" applyNumberFormat="1" applyFont="1" applyFill="1" applyBorder="1"/>
    <xf numFmtId="9" fontId="31" fillId="0" borderId="9" xfId="0" applyNumberFormat="1" applyFont="1" applyFill="1" applyBorder="1"/>
    <xf numFmtId="0" fontId="31" fillId="0" borderId="13" xfId="0" applyFont="1" applyFill="1" applyBorder="1"/>
    <xf numFmtId="0" fontId="31" fillId="0" borderId="8" xfId="0" applyFont="1" applyFill="1" applyBorder="1"/>
    <xf numFmtId="164" fontId="26" fillId="0" borderId="2" xfId="0" applyNumberFormat="1" applyFont="1" applyFill="1" applyBorder="1"/>
    <xf numFmtId="0" fontId="26" fillId="0" borderId="1" xfId="0" applyNumberFormat="1" applyFont="1" applyFill="1" applyBorder="1"/>
    <xf numFmtId="0" fontId="26" fillId="0" borderId="11" xfId="0" applyNumberFormat="1" applyFont="1" applyFill="1" applyBorder="1"/>
    <xf numFmtId="0" fontId="26" fillId="0" borderId="13" xfId="0" applyNumberFormat="1" applyFont="1" applyFill="1" applyBorder="1"/>
    <xf numFmtId="1" fontId="26" fillId="0" borderId="8" xfId="0" applyNumberFormat="1" applyFont="1" applyFill="1" applyBorder="1" applyAlignment="1">
      <alignment horizontal="center"/>
    </xf>
    <xf numFmtId="167" fontId="26" fillId="0" borderId="2" xfId="2" applyNumberFormat="1" applyFont="1" applyFill="1" applyBorder="1"/>
    <xf numFmtId="0" fontId="51" fillId="0" borderId="2" xfId="0" applyNumberFormat="1" applyFont="1" applyFill="1" applyBorder="1"/>
    <xf numFmtId="0" fontId="31" fillId="0" borderId="14" xfId="0" applyFont="1" applyFill="1" applyBorder="1"/>
    <xf numFmtId="9" fontId="31" fillId="0" borderId="4" xfId="0" applyNumberFormat="1" applyFont="1" applyFill="1" applyBorder="1"/>
    <xf numFmtId="9" fontId="31" fillId="0" borderId="12" xfId="0" applyNumberFormat="1" applyFont="1" applyFill="1" applyBorder="1"/>
    <xf numFmtId="1" fontId="31" fillId="0" borderId="1" xfId="0" applyNumberFormat="1" applyFont="1" applyFill="1" applyBorder="1"/>
    <xf numFmtId="164" fontId="17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right"/>
    </xf>
    <xf numFmtId="166" fontId="51" fillId="0" borderId="2" xfId="0" applyNumberFormat="1" applyFont="1" applyFill="1" applyBorder="1" applyAlignment="1">
      <alignment horizontal="left"/>
    </xf>
    <xf numFmtId="2" fontId="51" fillId="0" borderId="2" xfId="0" applyNumberFormat="1" applyFont="1" applyFill="1" applyBorder="1"/>
    <xf numFmtId="10" fontId="51" fillId="0" borderId="2" xfId="0" applyNumberFormat="1" applyFont="1" applyFill="1" applyBorder="1"/>
    <xf numFmtId="49" fontId="38" fillId="0" borderId="0" xfId="0" applyNumberFormat="1" applyFont="1" applyFill="1" applyBorder="1"/>
    <xf numFmtId="0" fontId="51" fillId="0" borderId="14" xfId="0" applyFont="1" applyFill="1" applyBorder="1"/>
    <xf numFmtId="1" fontId="51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/>
    <xf numFmtId="49" fontId="51" fillId="0" borderId="2" xfId="0" applyNumberFormat="1" applyFont="1" applyFill="1" applyBorder="1" applyAlignment="1">
      <alignment horizontal="left"/>
    </xf>
    <xf numFmtId="0" fontId="36" fillId="4" borderId="2" xfId="0" applyFont="1" applyFill="1" applyBorder="1"/>
    <xf numFmtId="0" fontId="36" fillId="4" borderId="9" xfId="0" applyFont="1" applyFill="1" applyBorder="1"/>
    <xf numFmtId="1" fontId="36" fillId="4" borderId="2" xfId="0" applyNumberFormat="1" applyFont="1" applyFill="1" applyBorder="1"/>
    <xf numFmtId="1" fontId="36" fillId="4" borderId="2" xfId="0" applyNumberFormat="1" applyFont="1" applyFill="1" applyBorder="1" applyAlignment="1">
      <alignment horizontal="center"/>
    </xf>
    <xf numFmtId="1" fontId="36" fillId="4" borderId="0" xfId="0" applyNumberFormat="1" applyFont="1" applyFill="1" applyBorder="1" applyAlignment="1">
      <alignment horizontal="center"/>
    </xf>
    <xf numFmtId="0" fontId="36" fillId="4" borderId="0" xfId="0" applyFont="1" applyFill="1"/>
    <xf numFmtId="1" fontId="51" fillId="4" borderId="2" xfId="0" applyNumberFormat="1" applyFont="1" applyFill="1" applyBorder="1"/>
    <xf numFmtId="0" fontId="25" fillId="0" borderId="8" xfId="0" applyFont="1" applyFill="1" applyBorder="1" applyAlignment="1">
      <alignment horizontal="center" wrapText="1"/>
    </xf>
    <xf numFmtId="0" fontId="48" fillId="0" borderId="0" xfId="0" applyFont="1" applyFill="1"/>
    <xf numFmtId="49" fontId="23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7" fillId="0" borderId="0" xfId="0" applyFont="1" applyFill="1"/>
    <xf numFmtId="9" fontId="27" fillId="0" borderId="0" xfId="0" applyNumberFormat="1" applyFont="1" applyFill="1"/>
    <xf numFmtId="0" fontId="27" fillId="0" borderId="0" xfId="0" applyFont="1" applyFill="1" applyAlignment="1">
      <alignment horizontal="center"/>
    </xf>
    <xf numFmtId="0" fontId="31" fillId="0" borderId="0" xfId="0" applyFont="1" applyFill="1" applyBorder="1"/>
    <xf numFmtId="2" fontId="23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23" fillId="0" borderId="10" xfId="0" applyFont="1" applyFill="1" applyBorder="1"/>
    <xf numFmtId="0" fontId="23" fillId="0" borderId="12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31" fillId="0" borderId="12" xfId="0" applyFont="1" applyFill="1" applyBorder="1" applyAlignment="1">
      <alignment horizontal="center"/>
    </xf>
    <xf numFmtId="9" fontId="31" fillId="0" borderId="1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1" fillId="0" borderId="15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9" fontId="31" fillId="0" borderId="3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9" fontId="31" fillId="0" borderId="8" xfId="0" applyNumberFormat="1" applyFont="1" applyFill="1" applyBorder="1" applyAlignment="1">
      <alignment horizontal="center"/>
    </xf>
    <xf numFmtId="9" fontId="25" fillId="0" borderId="7" xfId="0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/>
    </xf>
    <xf numFmtId="9" fontId="26" fillId="0" borderId="9" xfId="0" applyNumberFormat="1" applyFont="1" applyFill="1" applyBorder="1"/>
    <xf numFmtId="9" fontId="26" fillId="0" borderId="2" xfId="0" applyNumberFormat="1" applyFont="1" applyFill="1" applyBorder="1"/>
    <xf numFmtId="9" fontId="26" fillId="0" borderId="13" xfId="0" applyNumberFormat="1" applyFont="1" applyFill="1" applyBorder="1"/>
    <xf numFmtId="9" fontId="26" fillId="0" borderId="4" xfId="0" applyNumberFormat="1" applyFont="1" applyFill="1" applyBorder="1"/>
    <xf numFmtId="9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26" fillId="0" borderId="9" xfId="0" applyNumberFormat="1" applyFont="1" applyFill="1" applyBorder="1"/>
    <xf numFmtId="1" fontId="26" fillId="0" borderId="12" xfId="0" applyNumberFormat="1" applyFont="1" applyFill="1" applyBorder="1"/>
    <xf numFmtId="0" fontId="26" fillId="0" borderId="1" xfId="0" applyFont="1" applyFill="1" applyBorder="1"/>
    <xf numFmtId="0" fontId="31" fillId="0" borderId="1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2" fontId="31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" fontId="31" fillId="0" borderId="13" xfId="0" applyNumberFormat="1" applyFont="1" applyFill="1" applyBorder="1"/>
    <xf numFmtId="164" fontId="31" fillId="0" borderId="9" xfId="0" applyNumberFormat="1" applyFont="1" applyFill="1" applyBorder="1"/>
    <xf numFmtId="1" fontId="31" fillId="0" borderId="2" xfId="0" applyNumberFormat="1" applyFont="1" applyFill="1" applyBorder="1" applyAlignment="1">
      <alignment horizontal="center" vertical="center"/>
    </xf>
    <xf numFmtId="1" fontId="31" fillId="0" borderId="0" xfId="0" applyNumberFormat="1" applyFont="1" applyFill="1"/>
    <xf numFmtId="0" fontId="31" fillId="0" borderId="4" xfId="0" applyFont="1" applyFill="1" applyBorder="1"/>
    <xf numFmtId="9" fontId="31" fillId="0" borderId="2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1" fontId="31" fillId="0" borderId="8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1" fontId="31" fillId="0" borderId="14" xfId="0" applyNumberFormat="1" applyFont="1" applyFill="1" applyBorder="1"/>
    <xf numFmtId="1" fontId="31" fillId="0" borderId="3" xfId="0" applyNumberFormat="1" applyFont="1" applyFill="1" applyBorder="1"/>
    <xf numFmtId="1" fontId="31" fillId="0" borderId="9" xfId="0" applyNumberFormat="1" applyFont="1" applyFill="1" applyBorder="1"/>
    <xf numFmtId="0" fontId="31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0" fontId="31" fillId="0" borderId="3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left"/>
    </xf>
    <xf numFmtId="0" fontId="32" fillId="0" borderId="9" xfId="0" applyFont="1" applyFill="1" applyBorder="1"/>
    <xf numFmtId="2" fontId="32" fillId="0" borderId="2" xfId="0" applyNumberFormat="1" applyFont="1" applyFill="1" applyBorder="1" applyAlignment="1">
      <alignment horizontal="center"/>
    </xf>
    <xf numFmtId="9" fontId="32" fillId="0" borderId="2" xfId="0" applyNumberFormat="1" applyFont="1" applyFill="1" applyBorder="1"/>
    <xf numFmtId="0" fontId="32" fillId="0" borderId="2" xfId="0" applyFont="1" applyFill="1" applyBorder="1" applyAlignment="1">
      <alignment horizontal="center"/>
    </xf>
    <xf numFmtId="1" fontId="32" fillId="0" borderId="2" xfId="0" applyNumberFormat="1" applyFont="1" applyFill="1" applyBorder="1"/>
    <xf numFmtId="2" fontId="32" fillId="0" borderId="2" xfId="0" applyNumberFormat="1" applyFont="1" applyFill="1" applyBorder="1"/>
    <xf numFmtId="164" fontId="32" fillId="0" borderId="2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1" fontId="32" fillId="0" borderId="0" xfId="0" applyNumberFormat="1" applyFont="1" applyFill="1"/>
    <xf numFmtId="0" fontId="31" fillId="0" borderId="0" xfId="0" applyFont="1" applyFill="1" applyBorder="1" applyAlignment="1">
      <alignment horizontal="left"/>
    </xf>
    <xf numFmtId="164" fontId="31" fillId="0" borderId="0" xfId="0" applyNumberFormat="1" applyFont="1" applyFill="1" applyBorder="1"/>
    <xf numFmtId="9" fontId="31" fillId="0" borderId="0" xfId="0" applyNumberFormat="1" applyFont="1" applyFill="1" applyBorder="1"/>
    <xf numFmtId="2" fontId="31" fillId="0" borderId="0" xfId="0" applyNumberFormat="1" applyFont="1" applyFill="1" applyBorder="1"/>
    <xf numFmtId="1" fontId="31" fillId="0" borderId="0" xfId="0" applyNumberFormat="1" applyFont="1" applyFill="1" applyBorder="1"/>
    <xf numFmtId="0" fontId="56" fillId="0" borderId="0" xfId="0" applyFont="1" applyFill="1"/>
    <xf numFmtId="0" fontId="27" fillId="0" borderId="0" xfId="0" applyFont="1" applyFill="1" applyBorder="1"/>
    <xf numFmtId="0" fontId="27" fillId="0" borderId="0" xfId="0" applyFont="1" applyFill="1" applyBorder="1" applyAlignment="1"/>
    <xf numFmtId="0" fontId="27" fillId="0" borderId="0" xfId="0" applyFont="1" applyFill="1" applyAlignment="1"/>
    <xf numFmtId="0" fontId="31" fillId="0" borderId="0" xfId="0" applyFont="1" applyFill="1" applyAlignment="1"/>
    <xf numFmtId="0" fontId="4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0" fontId="10" fillId="2" borderId="1" xfId="0" applyNumberFormat="1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4" fillId="2" borderId="0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0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3" xfId="0" applyFont="1" applyFill="1" applyBorder="1"/>
    <xf numFmtId="9" fontId="41" fillId="2" borderId="9" xfId="0" applyNumberFormat="1" applyFont="1" applyFill="1" applyBorder="1"/>
    <xf numFmtId="9" fontId="41" fillId="2" borderId="2" xfId="0" applyNumberFormat="1" applyFont="1" applyFill="1" applyBorder="1"/>
    <xf numFmtId="0" fontId="41" fillId="2" borderId="2" xfId="0" applyNumberFormat="1" applyFont="1" applyFill="1" applyBorder="1"/>
    <xf numFmtId="9" fontId="41" fillId="2" borderId="13" xfId="0" applyNumberFormat="1" applyFont="1" applyFill="1" applyBorder="1"/>
    <xf numFmtId="0" fontId="15" fillId="0" borderId="2" xfId="0" applyNumberFormat="1" applyFont="1" applyFill="1" applyBorder="1" applyAlignment="1">
      <alignment horizontal="center"/>
    </xf>
    <xf numFmtId="0" fontId="54" fillId="0" borderId="0" xfId="0" applyNumberFormat="1" applyFont="1" applyFill="1" applyBorder="1"/>
    <xf numFmtId="0" fontId="23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/>
    <xf numFmtId="9" fontId="2" fillId="2" borderId="2" xfId="0" applyNumberFormat="1" applyFont="1" applyFill="1" applyBorder="1"/>
    <xf numFmtId="0" fontId="23" fillId="2" borderId="0" xfId="0" applyFont="1" applyFill="1" applyBorder="1"/>
    <xf numFmtId="0" fontId="23" fillId="2" borderId="0" xfId="0" applyFont="1" applyFill="1"/>
    <xf numFmtId="0" fontId="23" fillId="0" borderId="0" xfId="0" applyFont="1"/>
    <xf numFmtId="49" fontId="2" fillId="0" borderId="2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right"/>
    </xf>
    <xf numFmtId="0" fontId="24" fillId="0" borderId="0" xfId="0" applyNumberFormat="1" applyFont="1" applyFill="1" applyBorder="1"/>
    <xf numFmtId="164" fontId="24" fillId="0" borderId="0" xfId="0" applyNumberFormat="1" applyFont="1" applyFill="1" applyBorder="1"/>
    <xf numFmtId="0" fontId="24" fillId="2" borderId="0" xfId="0" applyFont="1" applyFill="1" applyBorder="1"/>
    <xf numFmtId="0" fontId="60" fillId="0" borderId="0" xfId="0" applyFont="1"/>
    <xf numFmtId="49" fontId="15" fillId="0" borderId="2" xfId="0" applyNumberFormat="1" applyFont="1" applyFill="1" applyBorder="1"/>
    <xf numFmtId="1" fontId="31" fillId="0" borderId="11" xfId="0" applyNumberFormat="1" applyFont="1" applyFill="1" applyBorder="1"/>
    <xf numFmtId="0" fontId="53" fillId="0" borderId="12" xfId="0" applyFont="1" applyFill="1" applyBorder="1" applyAlignment="1"/>
    <xf numFmtId="0" fontId="53" fillId="0" borderId="11" xfId="0" applyFont="1" applyFill="1" applyBorder="1" applyAlignment="1"/>
    <xf numFmtId="0" fontId="53" fillId="0" borderId="10" xfId="0" applyFont="1" applyFill="1" applyBorder="1" applyAlignment="1"/>
    <xf numFmtId="0" fontId="53" fillId="0" borderId="4" xfId="0" applyFont="1" applyFill="1" applyBorder="1" applyAlignment="1"/>
    <xf numFmtId="0" fontId="53" fillId="0" borderId="5" xfId="0" applyFont="1" applyFill="1" applyBorder="1" applyAlignment="1"/>
    <xf numFmtId="0" fontId="53" fillId="0" borderId="6" xfId="0" applyFont="1" applyFill="1" applyBorder="1" applyAlignment="1"/>
    <xf numFmtId="1" fontId="45" fillId="0" borderId="0" xfId="0" applyNumberFormat="1" applyFont="1" applyFill="1" applyBorder="1"/>
    <xf numFmtId="1" fontId="40" fillId="0" borderId="0" xfId="0" applyNumberFormat="1" applyFont="1" applyFill="1" applyBorder="1"/>
    <xf numFmtId="0" fontId="14" fillId="0" borderId="1" xfId="0" applyFont="1" applyBorder="1" applyAlignment="1">
      <alignment horizontal="center" wrapText="1"/>
    </xf>
    <xf numFmtId="0" fontId="69" fillId="0" borderId="0" xfId="0" applyFont="1" applyFill="1" applyBorder="1"/>
    <xf numFmtId="0" fontId="69" fillId="0" borderId="0" xfId="0" applyFont="1" applyFill="1"/>
    <xf numFmtId="0" fontId="70" fillId="0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72" fillId="0" borderId="0" xfId="0" applyFont="1" applyFill="1"/>
    <xf numFmtId="9" fontId="70" fillId="0" borderId="0" xfId="0" applyNumberFormat="1" applyFont="1" applyFill="1"/>
    <xf numFmtId="0" fontId="70" fillId="0" borderId="0" xfId="0" applyFont="1" applyFill="1" applyAlignment="1">
      <alignment horizontal="center"/>
    </xf>
    <xf numFmtId="0" fontId="49" fillId="5" borderId="0" xfId="0" applyFont="1" applyFill="1"/>
    <xf numFmtId="0" fontId="50" fillId="5" borderId="0" xfId="0" applyFont="1" applyFill="1"/>
    <xf numFmtId="1" fontId="17" fillId="0" borderId="2" xfId="0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/>
    <xf numFmtId="1" fontId="4" fillId="0" borderId="2" xfId="0" applyNumberFormat="1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9" fontId="4" fillId="2" borderId="4" xfId="0" applyNumberFormat="1" applyFont="1" applyFill="1" applyBorder="1"/>
    <xf numFmtId="1" fontId="4" fillId="2" borderId="2" xfId="0" applyNumberFormat="1" applyFont="1" applyFill="1" applyBorder="1"/>
    <xf numFmtId="1" fontId="4" fillId="2" borderId="2" xfId="0" applyNumberFormat="1" applyFont="1" applyFill="1" applyBorder="1" applyAlignment="1">
      <alignment horizontal="center"/>
    </xf>
    <xf numFmtId="0" fontId="4" fillId="2" borderId="1" xfId="0" applyFont="1" applyFill="1" applyBorder="1"/>
    <xf numFmtId="9" fontId="4" fillId="2" borderId="15" xfId="0" applyNumberFormat="1" applyFont="1" applyFill="1" applyBorder="1"/>
    <xf numFmtId="1" fontId="41" fillId="2" borderId="8" xfId="0" applyNumberFormat="1" applyFont="1" applyFill="1" applyBorder="1" applyAlignment="1">
      <alignment horizontal="right" wrapText="1"/>
    </xf>
    <xf numFmtId="9" fontId="4" fillId="2" borderId="1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12" xfId="0" applyFont="1" applyFill="1" applyBorder="1"/>
    <xf numFmtId="0" fontId="62" fillId="0" borderId="0" xfId="0" applyFont="1" applyFill="1" applyBorder="1"/>
    <xf numFmtId="0" fontId="69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40" fillId="0" borderId="2" xfId="0" applyFont="1" applyFill="1" applyBorder="1"/>
    <xf numFmtId="0" fontId="40" fillId="0" borderId="0" xfId="0" applyFont="1" applyFill="1" applyAlignment="1">
      <alignment horizontal="center"/>
    </xf>
    <xf numFmtId="0" fontId="40" fillId="0" borderId="0" xfId="0" applyFont="1" applyFill="1" applyBorder="1"/>
    <xf numFmtId="0" fontId="40" fillId="5" borderId="0" xfId="0" applyFont="1" applyFill="1"/>
    <xf numFmtId="49" fontId="40" fillId="0" borderId="2" xfId="0" applyNumberFormat="1" applyFont="1" applyFill="1" applyBorder="1"/>
    <xf numFmtId="49" fontId="40" fillId="0" borderId="0" xfId="0" applyNumberFormat="1" applyFont="1" applyFill="1" applyBorder="1"/>
    <xf numFmtId="0" fontId="71" fillId="0" borderId="0" xfId="0" applyFont="1" applyFill="1" applyAlignment="1"/>
    <xf numFmtId="0" fontId="71" fillId="0" borderId="0" xfId="0" applyFont="1" applyFill="1" applyAlignment="1">
      <alignment horizontal="center"/>
    </xf>
    <xf numFmtId="0" fontId="40" fillId="0" borderId="2" xfId="0" applyFont="1" applyFill="1" applyBorder="1" applyAlignment="1"/>
    <xf numFmtId="0" fontId="63" fillId="0" borderId="0" xfId="0" applyFont="1" applyFill="1"/>
    <xf numFmtId="0" fontId="73" fillId="0" borderId="0" xfId="0" applyFont="1" applyFill="1" applyAlignment="1">
      <alignment horizontal="center"/>
    </xf>
    <xf numFmtId="0" fontId="63" fillId="0" borderId="0" xfId="0" applyFont="1" applyFill="1" applyBorder="1"/>
    <xf numFmtId="0" fontId="63" fillId="0" borderId="0" xfId="0" applyFont="1" applyFill="1" applyBorder="1" applyAlignment="1"/>
    <xf numFmtId="0" fontId="63" fillId="0" borderId="0" xfId="0" applyFont="1" applyFill="1" applyAlignment="1"/>
    <xf numFmtId="0" fontId="73" fillId="0" borderId="0" xfId="0" applyFont="1" applyFill="1" applyBorder="1"/>
    <xf numFmtId="0" fontId="73" fillId="0" borderId="0" xfId="0" applyFont="1" applyFill="1"/>
    <xf numFmtId="1" fontId="73" fillId="0" borderId="0" xfId="0" applyNumberFormat="1" applyFont="1" applyFill="1" applyBorder="1"/>
    <xf numFmtId="1" fontId="63" fillId="0" borderId="0" xfId="0" applyNumberFormat="1" applyFont="1" applyFill="1" applyBorder="1"/>
    <xf numFmtId="0" fontId="7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9" fontId="73" fillId="0" borderId="0" xfId="0" applyNumberFormat="1" applyFont="1" applyFill="1"/>
    <xf numFmtId="0" fontId="63" fillId="5" borderId="0" xfId="0" applyFont="1" applyFill="1"/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64" fillId="0" borderId="0" xfId="0" applyFont="1" applyFill="1" applyBorder="1"/>
    <xf numFmtId="0" fontId="64" fillId="0" borderId="0" xfId="0" applyFont="1" applyFill="1"/>
    <xf numFmtId="9" fontId="64" fillId="0" borderId="7" xfId="0" applyNumberFormat="1" applyFont="1" applyFill="1" applyBorder="1" applyAlignment="1">
      <alignment horizontal="center" wrapText="1"/>
    </xf>
    <xf numFmtId="165" fontId="64" fillId="0" borderId="7" xfId="0" applyNumberFormat="1" applyFont="1" applyFill="1" applyBorder="1" applyAlignment="1">
      <alignment horizontal="center" wrapText="1"/>
    </xf>
    <xf numFmtId="0" fontId="74" fillId="0" borderId="2" xfId="0" applyFont="1" applyFill="1" applyBorder="1" applyAlignment="1">
      <alignment horizontal="center"/>
    </xf>
    <xf numFmtId="1" fontId="74" fillId="0" borderId="2" xfId="0" applyNumberFormat="1" applyFont="1" applyFill="1" applyBorder="1" applyAlignment="1">
      <alignment horizontal="center"/>
    </xf>
    <xf numFmtId="0" fontId="74" fillId="0" borderId="6" xfId="0" applyFont="1" applyFill="1" applyBorder="1" applyAlignment="1">
      <alignment horizontal="center" wrapText="1"/>
    </xf>
    <xf numFmtId="9" fontId="74" fillId="0" borderId="9" xfId="0" applyNumberFormat="1" applyFont="1" applyFill="1" applyBorder="1"/>
    <xf numFmtId="9" fontId="74" fillId="0" borderId="2" xfId="0" applyNumberFormat="1" applyFont="1" applyFill="1" applyBorder="1"/>
    <xf numFmtId="0" fontId="74" fillId="0" borderId="2" xfId="0" applyFont="1" applyFill="1" applyBorder="1"/>
    <xf numFmtId="0" fontId="74" fillId="0" borderId="13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1" fontId="74" fillId="0" borderId="2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/>
    <xf numFmtId="1" fontId="74" fillId="0" borderId="0" xfId="0" applyNumberFormat="1" applyFont="1" applyFill="1" applyBorder="1" applyAlignment="1">
      <alignment horizontal="center" vertical="center"/>
    </xf>
    <xf numFmtId="1" fontId="74" fillId="0" borderId="9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/>
    <xf numFmtId="0" fontId="64" fillId="0" borderId="0" xfId="0" applyFont="1" applyFill="1" applyAlignment="1">
      <alignment horizontal="center"/>
    </xf>
    <xf numFmtId="0" fontId="65" fillId="0" borderId="0" xfId="0" applyFont="1" applyFill="1"/>
    <xf numFmtId="0" fontId="74" fillId="0" borderId="0" xfId="0" applyFont="1" applyFill="1" applyAlignment="1">
      <alignment horizontal="center"/>
    </xf>
    <xf numFmtId="0" fontId="66" fillId="0" borderId="0" xfId="0" applyFont="1" applyFill="1"/>
    <xf numFmtId="0" fontId="64" fillId="0" borderId="0" xfId="0" applyFont="1" applyFill="1" applyBorder="1" applyAlignment="1">
      <alignment horizontal="center"/>
    </xf>
    <xf numFmtId="0" fontId="66" fillId="0" borderId="0" xfId="0" applyFont="1" applyFill="1" applyBorder="1"/>
    <xf numFmtId="1" fontId="74" fillId="0" borderId="0" xfId="0" applyNumberFormat="1" applyFont="1" applyFill="1" applyAlignment="1">
      <alignment horizontal="center"/>
    </xf>
    <xf numFmtId="1" fontId="74" fillId="0" borderId="0" xfId="0" applyNumberFormat="1" applyFont="1" applyFill="1"/>
    <xf numFmtId="9" fontId="7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9" fontId="74" fillId="0" borderId="0" xfId="0" applyNumberFormat="1" applyFont="1" applyFill="1" applyBorder="1"/>
    <xf numFmtId="1" fontId="64" fillId="0" borderId="0" xfId="0" applyNumberFormat="1" applyFont="1" applyFill="1" applyBorder="1"/>
    <xf numFmtId="9" fontId="64" fillId="0" borderId="0" xfId="0" applyNumberFormat="1" applyFont="1" applyFill="1" applyBorder="1"/>
    <xf numFmtId="0" fontId="75" fillId="0" borderId="2" xfId="0" applyFont="1" applyFill="1" applyBorder="1"/>
    <xf numFmtId="0" fontId="75" fillId="0" borderId="2" xfId="0" applyFont="1" applyFill="1" applyBorder="1" applyAlignment="1">
      <alignment horizontal="center"/>
    </xf>
    <xf numFmtId="0" fontId="75" fillId="0" borderId="2" xfId="0" applyFont="1" applyFill="1" applyBorder="1" applyAlignment="1">
      <alignment horizontal="left"/>
    </xf>
    <xf numFmtId="1" fontId="75" fillId="0" borderId="2" xfId="0" applyNumberFormat="1" applyFont="1" applyFill="1" applyBorder="1" applyAlignment="1">
      <alignment horizontal="center"/>
    </xf>
    <xf numFmtId="2" fontId="75" fillId="0" borderId="2" xfId="0" applyNumberFormat="1" applyFont="1" applyFill="1" applyBorder="1"/>
    <xf numFmtId="9" fontId="75" fillId="0" borderId="2" xfId="0" applyNumberFormat="1" applyFont="1" applyFill="1" applyBorder="1"/>
    <xf numFmtId="10" fontId="75" fillId="0" borderId="2" xfId="0" applyNumberFormat="1" applyFont="1" applyFill="1" applyBorder="1"/>
    <xf numFmtId="1" fontId="75" fillId="0" borderId="2" xfId="0" applyNumberFormat="1" applyFont="1" applyFill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/>
    </xf>
    <xf numFmtId="1" fontId="75" fillId="0" borderId="2" xfId="0" applyNumberFormat="1" applyFont="1" applyFill="1" applyBorder="1"/>
    <xf numFmtId="0" fontId="75" fillId="0" borderId="2" xfId="0" applyNumberFormat="1" applyFont="1" applyFill="1" applyBorder="1" applyAlignment="1">
      <alignment horizontal="center" vertical="center"/>
    </xf>
    <xf numFmtId="0" fontId="67" fillId="0" borderId="2" xfId="0" applyFont="1" applyFill="1" applyBorder="1"/>
    <xf numFmtId="0" fontId="67" fillId="0" borderId="2" xfId="0" applyFont="1" applyFill="1" applyBorder="1" applyAlignment="1">
      <alignment horizontal="center"/>
    </xf>
    <xf numFmtId="0" fontId="67" fillId="0" borderId="2" xfId="0" applyFont="1" applyFill="1" applyBorder="1" applyAlignment="1">
      <alignment horizontal="center" vertical="center"/>
    </xf>
    <xf numFmtId="9" fontId="67" fillId="0" borderId="2" xfId="0" applyNumberFormat="1" applyFont="1" applyFill="1" applyBorder="1"/>
    <xf numFmtId="10" fontId="67" fillId="0" borderId="2" xfId="0" applyNumberFormat="1" applyFont="1" applyFill="1" applyBorder="1"/>
    <xf numFmtId="1" fontId="67" fillId="0" borderId="2" xfId="0" applyNumberFormat="1" applyFont="1" applyFill="1" applyBorder="1" applyAlignment="1">
      <alignment horizontal="center" vertical="center"/>
    </xf>
    <xf numFmtId="1" fontId="67" fillId="0" borderId="2" xfId="0" applyNumberFormat="1" applyFont="1" applyFill="1" applyBorder="1"/>
    <xf numFmtId="0" fontId="75" fillId="0" borderId="2" xfId="0" applyFont="1" applyFill="1" applyBorder="1" applyAlignment="1">
      <alignment wrapText="1"/>
    </xf>
    <xf numFmtId="0" fontId="75" fillId="0" borderId="0" xfId="0" applyFont="1" applyFill="1"/>
    <xf numFmtId="164" fontId="75" fillId="0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1" fontId="76" fillId="0" borderId="2" xfId="0" applyNumberFormat="1" applyFont="1" applyFill="1" applyBorder="1" applyAlignment="1">
      <alignment horizontal="center"/>
    </xf>
    <xf numFmtId="0" fontId="45" fillId="0" borderId="0" xfId="0" applyFont="1" applyFill="1" applyAlignment="1"/>
    <xf numFmtId="0" fontId="72" fillId="0" borderId="0" xfId="0" applyFont="1" applyFill="1" applyAlignment="1"/>
    <xf numFmtId="0" fontId="34" fillId="0" borderId="0" xfId="0" applyFont="1"/>
    <xf numFmtId="0" fontId="34" fillId="0" borderId="0" xfId="0" applyFont="1" applyAlignment="1"/>
    <xf numFmtId="0" fontId="34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3" fillId="2" borderId="7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9" fontId="14" fillId="0" borderId="3" xfId="0" applyNumberFormat="1" applyFont="1" applyBorder="1" applyAlignment="1">
      <alignment horizontal="center" wrapText="1"/>
    </xf>
    <xf numFmtId="0" fontId="4" fillId="0" borderId="0" xfId="0" applyFont="1" applyFill="1"/>
    <xf numFmtId="0" fontId="34" fillId="0" borderId="0" xfId="0" applyFont="1" applyFill="1"/>
    <xf numFmtId="0" fontId="34" fillId="0" borderId="0" xfId="0" applyFont="1" applyFill="1" applyAlignment="1"/>
    <xf numFmtId="0" fontId="33" fillId="0" borderId="0" xfId="0" applyFont="1" applyFill="1"/>
    <xf numFmtId="0" fontId="75" fillId="6" borderId="2" xfId="0" applyFont="1" applyFill="1" applyBorder="1"/>
    <xf numFmtId="0" fontId="75" fillId="6" borderId="2" xfId="0" applyFont="1" applyFill="1" applyBorder="1" applyAlignment="1">
      <alignment horizontal="center"/>
    </xf>
    <xf numFmtId="1" fontId="75" fillId="6" borderId="2" xfId="0" applyNumberFormat="1" applyFont="1" applyFill="1" applyBorder="1" applyAlignment="1">
      <alignment horizontal="center"/>
    </xf>
    <xf numFmtId="2" fontId="75" fillId="6" borderId="2" xfId="0" applyNumberFormat="1" applyFont="1" applyFill="1" applyBorder="1"/>
    <xf numFmtId="0" fontId="75" fillId="6" borderId="2" xfId="0" applyFont="1" applyFill="1" applyBorder="1" applyAlignment="1">
      <alignment horizontal="center" vertical="center"/>
    </xf>
    <xf numFmtId="9" fontId="75" fillId="6" borderId="2" xfId="0" applyNumberFormat="1" applyFont="1" applyFill="1" applyBorder="1"/>
    <xf numFmtId="10" fontId="75" fillId="6" borderId="2" xfId="0" applyNumberFormat="1" applyFont="1" applyFill="1" applyBorder="1"/>
    <xf numFmtId="1" fontId="75" fillId="6" borderId="2" xfId="0" applyNumberFormat="1" applyFont="1" applyFill="1" applyBorder="1" applyAlignment="1">
      <alignment horizontal="center" vertical="center"/>
    </xf>
    <xf numFmtId="1" fontId="75" fillId="6" borderId="2" xfId="0" applyNumberFormat="1" applyFont="1" applyFill="1" applyBorder="1"/>
    <xf numFmtId="0" fontId="74" fillId="6" borderId="0" xfId="0" applyFont="1" applyFill="1" applyBorder="1"/>
    <xf numFmtId="1" fontId="74" fillId="6" borderId="0" xfId="0" applyNumberFormat="1" applyFont="1" applyFill="1" applyBorder="1"/>
    <xf numFmtId="9" fontId="74" fillId="6" borderId="0" xfId="0" applyNumberFormat="1" applyFont="1" applyFill="1" applyBorder="1"/>
    <xf numFmtId="1" fontId="74" fillId="6" borderId="2" xfId="0" applyNumberFormat="1" applyFont="1" applyFill="1" applyBorder="1" applyAlignment="1">
      <alignment horizontal="center" vertical="center"/>
    </xf>
    <xf numFmtId="0" fontId="74" fillId="6" borderId="0" xfId="0" applyFont="1" applyFill="1"/>
    <xf numFmtId="0" fontId="68" fillId="0" borderId="2" xfId="0" applyFont="1" applyFill="1" applyBorder="1" applyAlignment="1">
      <alignment horizontal="left"/>
    </xf>
    <xf numFmtId="16" fontId="75" fillId="6" borderId="2" xfId="0" applyNumberFormat="1" applyFont="1" applyFill="1" applyBorder="1" applyAlignment="1">
      <alignment horizontal="center"/>
    </xf>
    <xf numFmtId="164" fontId="75" fillId="6" borderId="2" xfId="0" applyNumberFormat="1" applyFont="1" applyFill="1" applyBorder="1" applyAlignment="1">
      <alignment horizontal="center" vertical="center"/>
    </xf>
    <xf numFmtId="0" fontId="75" fillId="6" borderId="2" xfId="0" applyNumberFormat="1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left"/>
    </xf>
    <xf numFmtId="0" fontId="79" fillId="0" borderId="2" xfId="0" applyFont="1" applyFill="1" applyBorder="1"/>
    <xf numFmtId="0" fontId="34" fillId="0" borderId="0" xfId="0" applyFont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40" fillId="0" borderId="0" xfId="0" applyFont="1" applyFill="1" applyAlignment="1"/>
    <xf numFmtId="0" fontId="45" fillId="0" borderId="0" xfId="0" applyFont="1" applyFill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left"/>
    </xf>
    <xf numFmtId="0" fontId="67" fillId="0" borderId="8" xfId="0" applyFont="1" applyFill="1" applyBorder="1" applyAlignment="1">
      <alignment horizontal="center"/>
    </xf>
    <xf numFmtId="0" fontId="67" fillId="0" borderId="3" xfId="0" applyFont="1" applyFill="1" applyBorder="1" applyAlignment="1">
      <alignment horizontal="center" wrapText="1"/>
    </xf>
    <xf numFmtId="49" fontId="67" fillId="0" borderId="3" xfId="0" applyNumberFormat="1" applyFont="1" applyFill="1" applyBorder="1" applyAlignment="1">
      <alignment horizontal="center" wrapText="1"/>
    </xf>
    <xf numFmtId="0" fontId="67" fillId="0" borderId="8" xfId="0" applyFont="1" applyFill="1" applyBorder="1" applyAlignment="1">
      <alignment horizontal="center" wrapText="1"/>
    </xf>
    <xf numFmtId="49" fontId="67" fillId="0" borderId="8" xfId="0" applyNumberFormat="1" applyFont="1" applyFill="1" applyBorder="1" applyAlignment="1">
      <alignment horizontal="center" wrapText="1"/>
    </xf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Border="1"/>
    <xf numFmtId="1" fontId="75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left" vertical="center"/>
    </xf>
    <xf numFmtId="1" fontId="75" fillId="0" borderId="0" xfId="0" applyNumberFormat="1" applyFont="1" applyFill="1" applyBorder="1"/>
    <xf numFmtId="1" fontId="75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1" fontId="75" fillId="0" borderId="0" xfId="0" applyNumberFormat="1" applyFont="1" applyFill="1"/>
    <xf numFmtId="0" fontId="77" fillId="0" borderId="0" xfId="0" applyFont="1" applyFill="1"/>
    <xf numFmtId="0" fontId="77" fillId="0" borderId="0" xfId="0" applyFont="1" applyFill="1" applyAlignment="1">
      <alignment horizontal="center"/>
    </xf>
    <xf numFmtId="0" fontId="77" fillId="0" borderId="0" xfId="0" applyFont="1" applyFill="1" applyBorder="1"/>
    <xf numFmtId="0" fontId="77" fillId="0" borderId="0" xfId="0" applyFont="1" applyFill="1" applyBorder="1" applyAlignment="1">
      <alignment horizontal="center"/>
    </xf>
    <xf numFmtId="9" fontId="77" fillId="0" borderId="0" xfId="0" applyNumberFormat="1" applyFont="1" applyFill="1"/>
    <xf numFmtId="0" fontId="4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" fontId="33" fillId="0" borderId="0" xfId="0" applyNumberFormat="1" applyFont="1" applyFill="1"/>
    <xf numFmtId="1" fontId="33" fillId="0" borderId="0" xfId="0" applyNumberFormat="1" applyFont="1" applyFill="1" applyAlignment="1">
      <alignment horizontal="center"/>
    </xf>
    <xf numFmtId="0" fontId="61" fillId="0" borderId="0" xfId="0" applyFont="1" applyFill="1" applyBorder="1"/>
    <xf numFmtId="0" fontId="33" fillId="0" borderId="0" xfId="0" applyFont="1" applyFill="1" applyBorder="1"/>
    <xf numFmtId="1" fontId="13" fillId="0" borderId="0" xfId="0" applyNumberFormat="1" applyFont="1" applyFill="1"/>
    <xf numFmtId="0" fontId="4" fillId="0" borderId="0" xfId="0" applyFont="1" applyFill="1" applyAlignment="1">
      <alignment horizontal="center"/>
    </xf>
    <xf numFmtId="1" fontId="6" fillId="0" borderId="0" xfId="0" applyNumberFormat="1" applyFont="1" applyFill="1"/>
    <xf numFmtId="0" fontId="45" fillId="0" borderId="0" xfId="0" applyFont="1" applyFill="1" applyAlignment="1">
      <alignment horizontal="center"/>
    </xf>
    <xf numFmtId="0" fontId="45" fillId="0" borderId="0" xfId="0" applyFont="1" applyFill="1" applyBorder="1"/>
    <xf numFmtId="0" fontId="80" fillId="0" borderId="2" xfId="0" applyFont="1" applyFill="1" applyBorder="1"/>
    <xf numFmtId="2" fontId="74" fillId="0" borderId="2" xfId="0" applyNumberFormat="1" applyFont="1" applyFill="1" applyBorder="1" applyAlignment="1">
      <alignment horizontal="center" vertical="center"/>
    </xf>
    <xf numFmtId="0" fontId="67" fillId="0" borderId="0" xfId="0" applyFont="1" applyFill="1"/>
    <xf numFmtId="0" fontId="81" fillId="0" borderId="0" xfId="0" applyFont="1" applyFill="1"/>
    <xf numFmtId="0" fontId="82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81" fillId="5" borderId="0" xfId="0" applyFont="1" applyFill="1"/>
    <xf numFmtId="0" fontId="83" fillId="0" borderId="0" xfId="0" applyFont="1" applyFill="1"/>
    <xf numFmtId="0" fontId="83" fillId="5" borderId="0" xfId="0" applyFont="1" applyFill="1"/>
    <xf numFmtId="0" fontId="83" fillId="0" borderId="2" xfId="0" applyFont="1" applyFill="1" applyBorder="1"/>
    <xf numFmtId="49" fontId="83" fillId="0" borderId="2" xfId="0" applyNumberFormat="1" applyFont="1" applyFill="1" applyBorder="1"/>
    <xf numFmtId="49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0" xfId="0" applyFont="1" applyFill="1" applyAlignment="1"/>
    <xf numFmtId="0" fontId="84" fillId="0" borderId="0" xfId="0" applyFont="1" applyFill="1" applyAlignment="1"/>
    <xf numFmtId="0" fontId="83" fillId="0" borderId="0" xfId="0" applyFont="1" applyFill="1" applyAlignment="1">
      <alignment horizontal="center"/>
    </xf>
    <xf numFmtId="0" fontId="81" fillId="0" borderId="0" xfId="0" applyFont="1" applyFill="1" applyAlignment="1"/>
    <xf numFmtId="0" fontId="84" fillId="0" borderId="0" xfId="0" applyFont="1" applyFill="1" applyAlignment="1">
      <alignment horizontal="center"/>
    </xf>
    <xf numFmtId="0" fontId="84" fillId="0" borderId="0" xfId="0" applyFont="1" applyFill="1"/>
    <xf numFmtId="0" fontId="83" fillId="0" borderId="2" xfId="0" applyFont="1" applyFill="1" applyBorder="1" applyAlignment="1"/>
    <xf numFmtId="0" fontId="83" fillId="0" borderId="13" xfId="0" applyFont="1" applyFill="1" applyBorder="1" applyAlignment="1"/>
    <xf numFmtId="0" fontId="83" fillId="0" borderId="14" xfId="0" applyFont="1" applyFill="1" applyBorder="1" applyAlignment="1"/>
    <xf numFmtId="0" fontId="83" fillId="0" borderId="9" xfId="0" applyFont="1" applyFill="1" applyBorder="1" applyAlignment="1"/>
    <xf numFmtId="0" fontId="83" fillId="0" borderId="13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/>
    </xf>
    <xf numFmtId="0" fontId="83" fillId="0" borderId="9" xfId="0" applyFont="1" applyFill="1" applyBorder="1" applyAlignment="1">
      <alignment horizontal="center"/>
    </xf>
    <xf numFmtId="0" fontId="83" fillId="0" borderId="0" xfId="0" applyFont="1" applyFill="1" applyBorder="1" applyAlignment="1"/>
    <xf numFmtId="0" fontId="83" fillId="0" borderId="1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wrapText="1"/>
    </xf>
    <xf numFmtId="0" fontId="83" fillId="0" borderId="14" xfId="0" applyFont="1" applyFill="1" applyBorder="1" applyAlignment="1">
      <alignment horizontal="left"/>
    </xf>
    <xf numFmtId="0" fontId="83" fillId="0" borderId="11" xfId="0" applyFont="1" applyFill="1" applyBorder="1" applyAlignment="1">
      <alignment horizontal="center" wrapText="1"/>
    </xf>
    <xf numFmtId="0" fontId="83" fillId="0" borderId="8" xfId="0" applyFont="1" applyFill="1" applyBorder="1" applyAlignment="1">
      <alignment horizontal="center"/>
    </xf>
    <xf numFmtId="0" fontId="83" fillId="0" borderId="3" xfId="0" applyFont="1" applyFill="1" applyBorder="1" applyAlignment="1">
      <alignment horizontal="center" wrapText="1"/>
    </xf>
    <xf numFmtId="49" fontId="83" fillId="0" borderId="3" xfId="0" applyNumberFormat="1" applyFont="1" applyFill="1" applyBorder="1" applyAlignment="1">
      <alignment horizontal="center" wrapText="1"/>
    </xf>
    <xf numFmtId="9" fontId="83" fillId="0" borderId="7" xfId="0" applyNumberFormat="1" applyFont="1" applyFill="1" applyBorder="1" applyAlignment="1">
      <alignment horizontal="center" wrapText="1"/>
    </xf>
    <xf numFmtId="165" fontId="83" fillId="0" borderId="7" xfId="0" applyNumberFormat="1" applyFont="1" applyFill="1" applyBorder="1" applyAlignment="1">
      <alignment horizontal="center" wrapText="1"/>
    </xf>
    <xf numFmtId="0" fontId="84" fillId="0" borderId="2" xfId="0" applyFont="1" applyFill="1" applyBorder="1" applyAlignment="1">
      <alignment horizontal="center"/>
    </xf>
    <xf numFmtId="0" fontId="83" fillId="0" borderId="8" xfId="0" applyFont="1" applyFill="1" applyBorder="1" applyAlignment="1">
      <alignment horizontal="center" wrapText="1"/>
    </xf>
    <xf numFmtId="49" fontId="83" fillId="0" borderId="8" xfId="0" applyNumberFormat="1" applyFont="1" applyFill="1" applyBorder="1" applyAlignment="1">
      <alignment horizontal="center" wrapText="1"/>
    </xf>
    <xf numFmtId="0" fontId="84" fillId="0" borderId="6" xfId="0" applyFont="1" applyFill="1" applyBorder="1" applyAlignment="1">
      <alignment horizontal="center" wrapText="1"/>
    </xf>
    <xf numFmtId="9" fontId="84" fillId="0" borderId="9" xfId="0" applyNumberFormat="1" applyFont="1" applyFill="1" applyBorder="1"/>
    <xf numFmtId="9" fontId="84" fillId="0" borderId="2" xfId="0" applyNumberFormat="1" applyFont="1" applyFill="1" applyBorder="1"/>
    <xf numFmtId="0" fontId="84" fillId="0" borderId="2" xfId="0" applyFont="1" applyFill="1" applyBorder="1"/>
    <xf numFmtId="0" fontId="84" fillId="0" borderId="13" xfId="0" applyFont="1" applyFill="1" applyBorder="1"/>
    <xf numFmtId="0" fontId="84" fillId="0" borderId="0" xfId="0" applyFont="1" applyFill="1" applyBorder="1"/>
    <xf numFmtId="0" fontId="84" fillId="0" borderId="2" xfId="0" applyFont="1" applyFill="1" applyBorder="1" applyAlignment="1">
      <alignment horizontal="left"/>
    </xf>
    <xf numFmtId="0" fontId="82" fillId="0" borderId="2" xfId="0" applyFont="1" applyFill="1" applyBorder="1" applyAlignment="1">
      <alignment horizontal="center"/>
    </xf>
    <xf numFmtId="1" fontId="82" fillId="0" borderId="2" xfId="0" applyNumberFormat="1" applyFont="1" applyFill="1" applyBorder="1" applyAlignment="1">
      <alignment horizontal="center"/>
    </xf>
    <xf numFmtId="0" fontId="82" fillId="0" borderId="2" xfId="0" applyFont="1" applyFill="1" applyBorder="1"/>
    <xf numFmtId="2" fontId="82" fillId="0" borderId="2" xfId="0" applyNumberFormat="1" applyFont="1" applyFill="1" applyBorder="1"/>
    <xf numFmtId="9" fontId="82" fillId="0" borderId="2" xfId="0" applyNumberFormat="1" applyFont="1" applyFill="1" applyBorder="1"/>
    <xf numFmtId="10" fontId="82" fillId="0" borderId="2" xfId="0" applyNumberFormat="1" applyFont="1" applyFill="1" applyBorder="1"/>
    <xf numFmtId="1" fontId="82" fillId="0" borderId="2" xfId="0" applyNumberFormat="1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/>
    </xf>
    <xf numFmtId="1" fontId="82" fillId="0" borderId="2" xfId="0" applyNumberFormat="1" applyFont="1" applyFill="1" applyBorder="1"/>
    <xf numFmtId="0" fontId="82" fillId="0" borderId="2" xfId="0" applyNumberFormat="1" applyFont="1" applyFill="1" applyBorder="1" applyAlignment="1">
      <alignment horizontal="center" vertical="center"/>
    </xf>
    <xf numFmtId="10" fontId="84" fillId="0" borderId="0" xfId="0" applyNumberFormat="1" applyFont="1" applyFill="1" applyBorder="1"/>
    <xf numFmtId="0" fontId="84" fillId="0" borderId="2" xfId="0" applyNumberFormat="1" applyFont="1" applyFill="1" applyBorder="1"/>
    <xf numFmtId="1" fontId="84" fillId="0" borderId="2" xfId="0" applyNumberFormat="1" applyFont="1" applyFill="1" applyBorder="1"/>
    <xf numFmtId="0" fontId="83" fillId="0" borderId="2" xfId="0" applyFont="1" applyFill="1" applyBorder="1" applyAlignment="1">
      <alignment horizontal="center"/>
    </xf>
    <xf numFmtId="0" fontId="81" fillId="0" borderId="2" xfId="0" applyFont="1" applyFill="1" applyBorder="1"/>
    <xf numFmtId="0" fontId="81" fillId="0" borderId="2" xfId="0" applyFont="1" applyFill="1" applyBorder="1" applyAlignment="1">
      <alignment horizontal="center"/>
    </xf>
    <xf numFmtId="0" fontId="81" fillId="0" borderId="2" xfId="0" applyFont="1" applyFill="1" applyBorder="1" applyAlignment="1">
      <alignment horizontal="center" vertical="center"/>
    </xf>
    <xf numFmtId="9" fontId="81" fillId="0" borderId="2" xfId="0" applyNumberFormat="1" applyFont="1" applyFill="1" applyBorder="1"/>
    <xf numFmtId="10" fontId="81" fillId="0" borderId="2" xfId="0" applyNumberFormat="1" applyFont="1" applyFill="1" applyBorder="1"/>
    <xf numFmtId="1" fontId="81" fillId="0" borderId="2" xfId="0" applyNumberFormat="1" applyFont="1" applyFill="1" applyBorder="1" applyAlignment="1">
      <alignment horizontal="center" vertical="center"/>
    </xf>
    <xf numFmtId="1" fontId="81" fillId="0" borderId="2" xfId="0" applyNumberFormat="1" applyFont="1" applyFill="1" applyBorder="1"/>
    <xf numFmtId="0" fontId="82" fillId="0" borderId="2" xfId="0" applyFont="1" applyFill="1" applyBorder="1" applyAlignment="1">
      <alignment wrapText="1"/>
    </xf>
    <xf numFmtId="164" fontId="82" fillId="0" borderId="2" xfId="0" applyNumberFormat="1" applyFont="1" applyFill="1" applyBorder="1" applyAlignment="1">
      <alignment horizontal="center" vertical="center"/>
    </xf>
    <xf numFmtId="2" fontId="84" fillId="0" borderId="2" xfId="0" applyNumberFormat="1" applyFont="1" applyFill="1" applyBorder="1"/>
    <xf numFmtId="0" fontId="82" fillId="0" borderId="1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left"/>
    </xf>
    <xf numFmtId="0" fontId="86" fillId="0" borderId="2" xfId="0" applyFont="1" applyFill="1" applyBorder="1" applyAlignment="1">
      <alignment horizontal="left"/>
    </xf>
    <xf numFmtId="0" fontId="84" fillId="6" borderId="2" xfId="0" applyFont="1" applyFill="1" applyBorder="1"/>
    <xf numFmtId="16" fontId="84" fillId="6" borderId="2" xfId="0" applyNumberFormat="1" applyFont="1" applyFill="1" applyBorder="1" applyAlignment="1">
      <alignment horizontal="center"/>
    </xf>
    <xf numFmtId="0" fontId="82" fillId="6" borderId="2" xfId="0" applyFont="1" applyFill="1" applyBorder="1"/>
    <xf numFmtId="0" fontId="82" fillId="6" borderId="2" xfId="0" applyFont="1" applyFill="1" applyBorder="1" applyAlignment="1">
      <alignment horizontal="center"/>
    </xf>
    <xf numFmtId="1" fontId="82" fillId="6" borderId="2" xfId="0" applyNumberFormat="1" applyFont="1" applyFill="1" applyBorder="1" applyAlignment="1">
      <alignment horizontal="center"/>
    </xf>
    <xf numFmtId="2" fontId="82" fillId="6" borderId="2" xfId="0" applyNumberFormat="1" applyFont="1" applyFill="1" applyBorder="1"/>
    <xf numFmtId="0" fontId="82" fillId="6" borderId="2" xfId="0" applyFont="1" applyFill="1" applyBorder="1" applyAlignment="1">
      <alignment horizontal="center" vertical="center"/>
    </xf>
    <xf numFmtId="9" fontId="82" fillId="6" borderId="2" xfId="0" applyNumberFormat="1" applyFont="1" applyFill="1" applyBorder="1"/>
    <xf numFmtId="10" fontId="82" fillId="6" borderId="2" xfId="0" applyNumberFormat="1" applyFont="1" applyFill="1" applyBorder="1"/>
    <xf numFmtId="1" fontId="82" fillId="6" borderId="2" xfId="0" applyNumberFormat="1" applyFont="1" applyFill="1" applyBorder="1" applyAlignment="1">
      <alignment horizontal="center" vertical="center"/>
    </xf>
    <xf numFmtId="164" fontId="82" fillId="6" borderId="2" xfId="0" applyNumberFormat="1" applyFont="1" applyFill="1" applyBorder="1" applyAlignment="1">
      <alignment horizontal="center" vertical="center"/>
    </xf>
    <xf numFmtId="1" fontId="82" fillId="6" borderId="2" xfId="0" applyNumberFormat="1" applyFont="1" applyFill="1" applyBorder="1"/>
    <xf numFmtId="0" fontId="82" fillId="6" borderId="2" xfId="0" applyNumberFormat="1" applyFont="1" applyFill="1" applyBorder="1" applyAlignment="1">
      <alignment horizontal="center" vertical="center"/>
    </xf>
    <xf numFmtId="0" fontId="84" fillId="6" borderId="0" xfId="0" applyFont="1" applyFill="1" applyBorder="1"/>
    <xf numFmtId="1" fontId="84" fillId="0" borderId="2" xfId="0" applyNumberFormat="1" applyFont="1" applyFill="1" applyBorder="1" applyAlignment="1">
      <alignment horizontal="center"/>
    </xf>
    <xf numFmtId="1" fontId="84" fillId="0" borderId="2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1" fontId="84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/>
    <xf numFmtId="1" fontId="84" fillId="0" borderId="0" xfId="0" applyNumberFormat="1" applyFont="1" applyFill="1" applyBorder="1" applyAlignment="1">
      <alignment horizontal="left" vertical="center"/>
    </xf>
    <xf numFmtId="164" fontId="84" fillId="0" borderId="0" xfId="0" applyNumberFormat="1" applyFont="1" applyFill="1" applyBorder="1"/>
    <xf numFmtId="0" fontId="87" fillId="0" borderId="0" xfId="0" applyFont="1" applyFill="1"/>
    <xf numFmtId="1" fontId="84" fillId="0" borderId="0" xfId="0" applyNumberFormat="1" applyFont="1" applyFill="1" applyBorder="1"/>
    <xf numFmtId="0" fontId="86" fillId="0" borderId="0" xfId="0" applyFont="1" applyFill="1"/>
    <xf numFmtId="0" fontId="83" fillId="0" borderId="0" xfId="0" applyFont="1" applyFill="1" applyBorder="1" applyAlignment="1">
      <alignment horizontal="center"/>
    </xf>
    <xf numFmtId="0" fontId="86" fillId="0" borderId="0" xfId="0" applyFont="1" applyFill="1" applyBorder="1"/>
    <xf numFmtId="1" fontId="84" fillId="0" borderId="0" xfId="0" applyNumberFormat="1" applyFont="1" applyFill="1" applyAlignment="1">
      <alignment horizontal="center"/>
    </xf>
    <xf numFmtId="1" fontId="84" fillId="0" borderId="0" xfId="0" applyNumberFormat="1" applyFont="1" applyFill="1"/>
    <xf numFmtId="0" fontId="25" fillId="0" borderId="1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9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 wrapText="1"/>
    </xf>
    <xf numFmtId="0" fontId="48" fillId="0" borderId="3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3" xfId="0" applyFont="1" applyFill="1" applyBorder="1" applyAlignment="1">
      <alignment wrapText="1"/>
    </xf>
    <xf numFmtId="0" fontId="48" fillId="0" borderId="8" xfId="0" applyFont="1" applyFill="1" applyBorder="1" applyAlignment="1">
      <alignment wrapText="1"/>
    </xf>
    <xf numFmtId="0" fontId="31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9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horizontal="center" wrapText="1"/>
    </xf>
    <xf numFmtId="0" fontId="8" fillId="2" borderId="8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0" fontId="16" fillId="2" borderId="5" xfId="0" applyNumberFormat="1" applyFont="1" applyFill="1" applyBorder="1" applyAlignment="1">
      <alignment horizontal="center"/>
    </xf>
    <xf numFmtId="0" fontId="16" fillId="2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9" xfId="0" applyFont="1" applyFill="1" applyBorder="1" applyAlignment="1"/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37" fillId="0" borderId="2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 wrapText="1"/>
    </xf>
    <xf numFmtId="49" fontId="37" fillId="0" borderId="13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49" fontId="37" fillId="0" borderId="9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49" fontId="37" fillId="0" borderId="8" xfId="0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/>
    </xf>
    <xf numFmtId="49" fontId="37" fillId="0" borderId="5" xfId="0" applyNumberFormat="1" applyFont="1" applyFill="1" applyBorder="1" applyAlignment="1">
      <alignment horizontal="center"/>
    </xf>
    <xf numFmtId="49" fontId="37" fillId="0" borderId="6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 textRotation="90"/>
    </xf>
    <xf numFmtId="0" fontId="37" fillId="0" borderId="3" xfId="0" applyFont="1" applyFill="1" applyBorder="1" applyAlignment="1">
      <alignment horizontal="center" textRotation="90"/>
    </xf>
    <xf numFmtId="0" fontId="37" fillId="0" borderId="8" xfId="0" applyFont="1" applyFill="1" applyBorder="1" applyAlignment="1">
      <alignment horizontal="center" textRotation="90"/>
    </xf>
    <xf numFmtId="0" fontId="36" fillId="0" borderId="2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 wrapText="1"/>
    </xf>
    <xf numFmtId="0" fontId="37" fillId="4" borderId="3" xfId="0" applyFont="1" applyFill="1" applyBorder="1" applyAlignment="1">
      <alignment horizontal="center" wrapText="1"/>
    </xf>
    <xf numFmtId="0" fontId="37" fillId="4" borderId="8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textRotation="90" wrapText="1"/>
    </xf>
    <xf numFmtId="0" fontId="37" fillId="0" borderId="3" xfId="0" applyFont="1" applyFill="1" applyBorder="1" applyAlignment="1">
      <alignment horizontal="center" textRotation="90" wrapText="1"/>
    </xf>
    <xf numFmtId="0" fontId="37" fillId="0" borderId="8" xfId="0" applyFont="1" applyFill="1" applyBorder="1" applyAlignment="1">
      <alignment horizontal="center" textRotation="90" wrapText="1"/>
    </xf>
    <xf numFmtId="0" fontId="36" fillId="0" borderId="1" xfId="0" applyFont="1" applyFill="1" applyBorder="1" applyAlignment="1">
      <alignment horizontal="center" textRotation="90" wrapText="1"/>
    </xf>
    <xf numFmtId="0" fontId="36" fillId="0" borderId="3" xfId="0" applyFont="1" applyFill="1" applyBorder="1" applyAlignment="1">
      <alignment horizontal="center" textRotation="90" wrapText="1"/>
    </xf>
    <xf numFmtId="0" fontId="36" fillId="0" borderId="8" xfId="0" applyFont="1" applyFill="1" applyBorder="1" applyAlignment="1">
      <alignment horizontal="center" textRotation="90" wrapText="1"/>
    </xf>
    <xf numFmtId="0" fontId="36" fillId="0" borderId="1" xfId="0" applyFont="1" applyFill="1" applyBorder="1" applyAlignment="1">
      <alignment horizontal="center" textRotation="90"/>
    </xf>
    <xf numFmtId="0" fontId="36" fillId="0" borderId="3" xfId="0" applyFont="1" applyFill="1" applyBorder="1" applyAlignment="1">
      <alignment horizontal="center" textRotation="90"/>
    </xf>
    <xf numFmtId="0" fontId="36" fillId="0" borderId="8" xfId="0" applyFont="1" applyFill="1" applyBorder="1" applyAlignment="1">
      <alignment horizontal="center" textRotation="90"/>
    </xf>
    <xf numFmtId="0" fontId="36" fillId="0" borderId="10" xfId="0" applyFont="1" applyFill="1" applyBorder="1" applyAlignment="1">
      <alignment horizontal="center" wrapText="1"/>
    </xf>
    <xf numFmtId="0" fontId="36" fillId="0" borderId="7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 wrapText="1"/>
    </xf>
    <xf numFmtId="0" fontId="36" fillId="4" borderId="3" xfId="0" applyFont="1" applyFill="1" applyBorder="1" applyAlignment="1">
      <alignment horizontal="center" wrapText="1"/>
    </xf>
    <xf numFmtId="0" fontId="36" fillId="4" borderId="8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36" fillId="0" borderId="9" xfId="0" applyNumberFormat="1" applyFont="1" applyFill="1" applyBorder="1" applyAlignment="1">
      <alignment horizontal="center"/>
    </xf>
    <xf numFmtId="49" fontId="36" fillId="0" borderId="8" xfId="0" applyNumberFormat="1" applyFont="1" applyFill="1" applyBorder="1" applyAlignment="1">
      <alignment horizontal="center"/>
    </xf>
    <xf numFmtId="49" fontId="36" fillId="0" borderId="5" xfId="0" applyNumberFormat="1" applyFont="1" applyFill="1" applyBorder="1" applyAlignment="1">
      <alignment horizontal="center"/>
    </xf>
    <xf numFmtId="49" fontId="36" fillId="0" borderId="6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16" fontId="53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39" fillId="0" borderId="8" xfId="0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center" wrapText="1"/>
    </xf>
    <xf numFmtId="0" fontId="53" fillId="0" borderId="3" xfId="0" applyFont="1" applyFill="1" applyBorder="1" applyAlignment="1">
      <alignment horizontal="center" wrapText="1"/>
    </xf>
    <xf numFmtId="0" fontId="53" fillId="0" borderId="8" xfId="0" applyFont="1" applyFill="1" applyBorder="1" applyAlignment="1">
      <alignment horizontal="center" wrapText="1"/>
    </xf>
    <xf numFmtId="0" fontId="53" fillId="0" borderId="3" xfId="0" applyFont="1" applyFill="1" applyBorder="1" applyAlignment="1">
      <alignment wrapText="1"/>
    </xf>
    <xf numFmtId="0" fontId="53" fillId="0" borderId="8" xfId="0" applyFont="1" applyFill="1" applyBorder="1" applyAlignment="1">
      <alignment wrapText="1"/>
    </xf>
    <xf numFmtId="9" fontId="51" fillId="0" borderId="1" xfId="0" applyNumberFormat="1" applyFont="1" applyFill="1" applyBorder="1" applyAlignment="1">
      <alignment horizontal="center"/>
    </xf>
    <xf numFmtId="9" fontId="51" fillId="0" borderId="3" xfId="0" applyNumberFormat="1" applyFont="1" applyFill="1" applyBorder="1" applyAlignment="1">
      <alignment horizontal="center"/>
    </xf>
    <xf numFmtId="9" fontId="51" fillId="0" borderId="8" xfId="0" applyNumberFormat="1" applyFont="1" applyFill="1" applyBorder="1" applyAlignment="1">
      <alignment horizontal="center"/>
    </xf>
    <xf numFmtId="49" fontId="53" fillId="0" borderId="6" xfId="0" applyNumberFormat="1" applyFont="1" applyFill="1" applyBorder="1" applyAlignment="1">
      <alignment horizontal="center"/>
    </xf>
    <xf numFmtId="49" fontId="53" fillId="0" borderId="8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49" fontId="53" fillId="0" borderId="5" xfId="0" applyNumberFormat="1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1" fillId="0" borderId="7" xfId="0" applyFont="1" applyFill="1" applyBorder="1" applyAlignment="1">
      <alignment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  <xf numFmtId="0" fontId="39" fillId="0" borderId="4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38" fillId="0" borderId="13" xfId="0" applyFont="1" applyFill="1" applyBorder="1" applyAlignment="1"/>
    <xf numFmtId="0" fontId="38" fillId="0" borderId="14" xfId="0" applyFont="1" applyFill="1" applyBorder="1" applyAlignment="1"/>
    <xf numFmtId="0" fontId="38" fillId="0" borderId="9" xfId="0" applyFont="1" applyFill="1" applyBorder="1" applyAlignment="1"/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49" fontId="39" fillId="0" borderId="8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2" borderId="0" xfId="0" applyFont="1" applyFill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0" fillId="0" borderId="13" xfId="0" applyFont="1" applyFill="1" applyBorder="1" applyAlignment="1"/>
    <xf numFmtId="0" fontId="20" fillId="0" borderId="14" xfId="0" applyFont="1" applyFill="1" applyBorder="1" applyAlignment="1"/>
    <xf numFmtId="0" fontId="20" fillId="0" borderId="9" xfId="0" applyFont="1" applyFill="1" applyBorder="1" applyAlignment="1"/>
    <xf numFmtId="0" fontId="12" fillId="0" borderId="3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20" fillId="0" borderId="12" xfId="0" applyFont="1" applyFill="1" applyBorder="1" applyAlignment="1"/>
    <xf numFmtId="0" fontId="20" fillId="0" borderId="11" xfId="0" applyFont="1" applyFill="1" applyBorder="1" applyAlignment="1"/>
    <xf numFmtId="0" fontId="20" fillId="0" borderId="10" xfId="0" applyFont="1" applyFill="1" applyBorder="1" applyAlignment="1"/>
    <xf numFmtId="0" fontId="30" fillId="0" borderId="3" xfId="0" applyFont="1" applyFill="1" applyBorder="1" applyAlignment="1">
      <alignment wrapText="1"/>
    </xf>
    <xf numFmtId="0" fontId="30" fillId="0" borderId="8" xfId="0" applyFont="1" applyFill="1" applyBorder="1" applyAlignment="1">
      <alignment wrapText="1"/>
    </xf>
    <xf numFmtId="0" fontId="30" fillId="0" borderId="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20" fillId="3" borderId="13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wrapText="1"/>
    </xf>
    <xf numFmtId="0" fontId="67" fillId="0" borderId="1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40" fillId="0" borderId="0" xfId="0" applyFont="1" applyFill="1" applyAlignment="1"/>
    <xf numFmtId="0" fontId="40" fillId="0" borderId="2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 wrapText="1"/>
    </xf>
    <xf numFmtId="0" fontId="67" fillId="0" borderId="3" xfId="0" applyFont="1" applyFill="1" applyBorder="1" applyAlignment="1">
      <alignment horizontal="center" wrapText="1"/>
    </xf>
    <xf numFmtId="0" fontId="67" fillId="0" borderId="8" xfId="0" applyFont="1" applyFill="1" applyBorder="1" applyAlignment="1">
      <alignment horizontal="center" wrapText="1"/>
    </xf>
    <xf numFmtId="0" fontId="67" fillId="0" borderId="1" xfId="0" applyFont="1" applyFill="1" applyBorder="1" applyAlignment="1">
      <alignment horizontal="center"/>
    </xf>
    <xf numFmtId="0" fontId="67" fillId="0" borderId="3" xfId="0" applyFont="1" applyFill="1" applyBorder="1" applyAlignment="1">
      <alignment horizontal="center"/>
    </xf>
    <xf numFmtId="0" fontId="67" fillId="0" borderId="8" xfId="0" applyFont="1" applyFill="1" applyBorder="1" applyAlignment="1">
      <alignment horizontal="center"/>
    </xf>
    <xf numFmtId="0" fontId="64" fillId="0" borderId="8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/>
    </xf>
    <xf numFmtId="0" fontId="75" fillId="0" borderId="3" xfId="0" applyFont="1" applyFill="1" applyBorder="1" applyAlignment="1">
      <alignment horizontal="center" vertical="center"/>
    </xf>
    <xf numFmtId="0" fontId="75" fillId="0" borderId="8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/>
    </xf>
    <xf numFmtId="0" fontId="67" fillId="0" borderId="9" xfId="0" applyFont="1" applyFill="1" applyBorder="1" applyAlignment="1">
      <alignment horizontal="left"/>
    </xf>
    <xf numFmtId="0" fontId="64" fillId="0" borderId="2" xfId="0" applyFont="1" applyFill="1" applyBorder="1" applyAlignment="1">
      <alignment horizontal="center"/>
    </xf>
    <xf numFmtId="49" fontId="64" fillId="0" borderId="8" xfId="0" applyNumberFormat="1" applyFont="1" applyFill="1" applyBorder="1" applyAlignment="1">
      <alignment horizontal="center"/>
    </xf>
    <xf numFmtId="49" fontId="64" fillId="0" borderId="5" xfId="0" applyNumberFormat="1" applyFont="1" applyFill="1" applyBorder="1" applyAlignment="1">
      <alignment horizontal="center"/>
    </xf>
    <xf numFmtId="49" fontId="64" fillId="0" borderId="6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49" fontId="64" fillId="0" borderId="14" xfId="0" applyNumberFormat="1" applyFont="1" applyFill="1" applyBorder="1" applyAlignment="1">
      <alignment horizontal="center"/>
    </xf>
    <xf numFmtId="49" fontId="64" fillId="0" borderId="9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wrapText="1"/>
    </xf>
    <xf numFmtId="0" fontId="64" fillId="0" borderId="3" xfId="0" applyFont="1" applyFill="1" applyBorder="1" applyAlignment="1">
      <alignment horizontal="center" wrapText="1"/>
    </xf>
    <xf numFmtId="0" fontId="64" fillId="0" borderId="8" xfId="0" applyFont="1" applyFill="1" applyBorder="1" applyAlignment="1">
      <alignment horizontal="center" wrapText="1"/>
    </xf>
    <xf numFmtId="49" fontId="67" fillId="0" borderId="3" xfId="0" applyNumberFormat="1" applyFont="1" applyFill="1" applyBorder="1" applyAlignment="1">
      <alignment horizontal="center" wrapText="1"/>
    </xf>
    <xf numFmtId="49" fontId="67" fillId="0" borderId="8" xfId="0" applyNumberFormat="1" applyFont="1" applyFill="1" applyBorder="1" applyAlignment="1">
      <alignment horizontal="center" wrapText="1"/>
    </xf>
    <xf numFmtId="0" fontId="64" fillId="0" borderId="2" xfId="0" applyFont="1" applyFill="1" applyBorder="1" applyAlignment="1">
      <alignment horizontal="center" wrapText="1"/>
    </xf>
    <xf numFmtId="0" fontId="74" fillId="0" borderId="0" xfId="0" applyFont="1" applyFill="1" applyAlignment="1">
      <alignment horizontal="left"/>
    </xf>
    <xf numFmtId="0" fontId="64" fillId="0" borderId="4" xfId="0" applyFont="1" applyFill="1" applyBorder="1" applyAlignment="1">
      <alignment horizontal="center"/>
    </xf>
    <xf numFmtId="49" fontId="64" fillId="0" borderId="2" xfId="0" applyNumberFormat="1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 wrapText="1"/>
    </xf>
    <xf numFmtId="0" fontId="83" fillId="0" borderId="3" xfId="0" applyFont="1" applyFill="1" applyBorder="1" applyAlignment="1">
      <alignment horizontal="center" wrapText="1"/>
    </xf>
    <xf numFmtId="0" fontId="83" fillId="0" borderId="8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4" xfId="0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/>
    </xf>
    <xf numFmtId="0" fontId="83" fillId="0" borderId="6" xfId="0" applyFont="1" applyFill="1" applyBorder="1" applyAlignment="1">
      <alignment horizontal="center"/>
    </xf>
    <xf numFmtId="0" fontId="83" fillId="0" borderId="8" xfId="0" applyFont="1" applyFill="1" applyBorder="1" applyAlignment="1">
      <alignment horizontal="center"/>
    </xf>
    <xf numFmtId="49" fontId="83" fillId="0" borderId="2" xfId="0" applyNumberFormat="1" applyFont="1" applyFill="1" applyBorder="1" applyAlignment="1">
      <alignment horizontal="center"/>
    </xf>
    <xf numFmtId="0" fontId="83" fillId="0" borderId="2" xfId="0" applyFont="1" applyFill="1" applyBorder="1" applyAlignment="1">
      <alignment horizontal="center"/>
    </xf>
    <xf numFmtId="0" fontId="84" fillId="0" borderId="0" xfId="0" applyFont="1" applyFill="1" applyAlignment="1">
      <alignment horizontal="left"/>
    </xf>
    <xf numFmtId="49" fontId="83" fillId="0" borderId="6" xfId="0" applyNumberFormat="1" applyFont="1" applyFill="1" applyBorder="1" applyAlignment="1">
      <alignment horizontal="center"/>
    </xf>
    <xf numFmtId="49" fontId="83" fillId="0" borderId="8" xfId="0" applyNumberFormat="1" applyFont="1" applyFill="1" applyBorder="1" applyAlignment="1">
      <alignment horizontal="center"/>
    </xf>
    <xf numFmtId="49" fontId="83" fillId="0" borderId="3" xfId="0" applyNumberFormat="1" applyFont="1" applyFill="1" applyBorder="1" applyAlignment="1">
      <alignment horizontal="center" wrapText="1"/>
    </xf>
    <xf numFmtId="49" fontId="83" fillId="0" borderId="8" xfId="0" applyNumberFormat="1" applyFont="1" applyFill="1" applyBorder="1" applyAlignment="1">
      <alignment horizontal="center" wrapText="1"/>
    </xf>
    <xf numFmtId="0" fontId="83" fillId="0" borderId="2" xfId="0" applyFont="1" applyFill="1" applyBorder="1" applyAlignment="1">
      <alignment horizontal="center" wrapText="1"/>
    </xf>
    <xf numFmtId="0" fontId="83" fillId="0" borderId="13" xfId="0" applyFont="1" applyFill="1" applyBorder="1" applyAlignment="1">
      <alignment horizontal="left"/>
    </xf>
    <xf numFmtId="0" fontId="83" fillId="0" borderId="14" xfId="0" applyFont="1" applyFill="1" applyBorder="1" applyAlignment="1">
      <alignment horizontal="left"/>
    </xf>
    <xf numFmtId="0" fontId="83" fillId="0" borderId="9" xfId="0" applyFont="1" applyFill="1" applyBorder="1" applyAlignment="1">
      <alignment horizontal="left"/>
    </xf>
    <xf numFmtId="49" fontId="83" fillId="0" borderId="5" xfId="0" applyNumberFormat="1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49" fontId="83" fillId="0" borderId="14" xfId="0" applyNumberFormat="1" applyFont="1" applyFill="1" applyBorder="1" applyAlignment="1">
      <alignment horizontal="center"/>
    </xf>
    <xf numFmtId="49" fontId="83" fillId="0" borderId="9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/>
    </xf>
    <xf numFmtId="0" fontId="83" fillId="0" borderId="9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8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/>
    </xf>
    <xf numFmtId="0" fontId="84" fillId="0" borderId="3" xfId="0" applyFont="1" applyFill="1" applyBorder="1" applyAlignment="1">
      <alignment horizontal="center" vertical="center"/>
    </xf>
    <xf numFmtId="0" fontId="84" fillId="0" borderId="8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center" vertical="center"/>
    </xf>
    <xf numFmtId="0" fontId="83" fillId="0" borderId="8" xfId="0" applyFont="1" applyFill="1" applyBorder="1" applyAlignment="1">
      <alignment horizontal="center" vertical="center"/>
    </xf>
    <xf numFmtId="0" fontId="83" fillId="0" borderId="0" xfId="0" applyFont="1" applyFill="1" applyAlignment="1"/>
    <xf numFmtId="0" fontId="83" fillId="0" borderId="2" xfId="0" applyFont="1" applyFill="1" applyBorder="1" applyAlignment="1">
      <alignment horizontal="left"/>
    </xf>
    <xf numFmtId="0" fontId="83" fillId="0" borderId="0" xfId="0" applyFont="1" applyFill="1" applyAlignment="1">
      <alignment horizontal="center"/>
    </xf>
    <xf numFmtId="0" fontId="83" fillId="0" borderId="13" xfId="0" applyFont="1" applyFill="1" applyBorder="1" applyAlignment="1"/>
    <xf numFmtId="0" fontId="83" fillId="0" borderId="14" xfId="0" applyFont="1" applyFill="1" applyBorder="1" applyAlignment="1"/>
    <xf numFmtId="0" fontId="83" fillId="0" borderId="9" xfId="0" applyFont="1" applyFill="1" applyBorder="1" applyAlignment="1"/>
    <xf numFmtId="0" fontId="83" fillId="0" borderId="3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20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72465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76200</xdr:colOff>
      <xdr:row>15</xdr:row>
      <xdr:rowOff>228600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5053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6</xdr:col>
      <xdr:colOff>628649</xdr:colOff>
      <xdr:row>20</xdr:row>
      <xdr:rowOff>47625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229100" y="299085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20</xdr:row>
      <xdr:rowOff>47625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72465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76200</xdr:colOff>
      <xdr:row>15</xdr:row>
      <xdr:rowOff>228600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5053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19</xdr:row>
      <xdr:rowOff>104775</xdr:rowOff>
    </xdr:from>
    <xdr:to>
      <xdr:col>7</xdr:col>
      <xdr:colOff>19049</xdr:colOff>
      <xdr:row>20</xdr:row>
      <xdr:rowOff>66675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4295775" y="300990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72465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85725</xdr:rowOff>
    </xdr:from>
    <xdr:to>
      <xdr:col>6</xdr:col>
      <xdr:colOff>628649</xdr:colOff>
      <xdr:row>19</xdr:row>
      <xdr:rowOff>47625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4229100" y="283845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672465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18</xdr:row>
      <xdr:rowOff>47625</xdr:rowOff>
    </xdr:from>
    <xdr:to>
      <xdr:col>16</xdr:col>
      <xdr:colOff>85725</xdr:colOff>
      <xdr:row>19</xdr:row>
      <xdr:rowOff>95250</xdr:rowOff>
    </xdr:to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736282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18</xdr:row>
      <xdr:rowOff>104775</xdr:rowOff>
    </xdr:from>
    <xdr:to>
      <xdr:col>7</xdr:col>
      <xdr:colOff>19049</xdr:colOff>
      <xdr:row>19</xdr:row>
      <xdr:rowOff>66675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4295775" y="285750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20</xdr:row>
      <xdr:rowOff>47625</xdr:rowOff>
    </xdr:to>
    <xdr:sp macro="" textlink="">
      <xdr:nvSpPr>
        <xdr:cNvPr id="1174407" name="Text Box 2"/>
        <xdr:cNvSpPr txBox="1">
          <a:spLocks noChangeArrowheads="1"/>
        </xdr:cNvSpPr>
      </xdr:nvSpPr>
      <xdr:spPr bwMode="auto">
        <a:xfrm>
          <a:off x="672465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76200</xdr:colOff>
      <xdr:row>15</xdr:row>
      <xdr:rowOff>228600</xdr:rowOff>
    </xdr:to>
    <xdr:sp macro="" textlink="">
      <xdr:nvSpPr>
        <xdr:cNvPr id="1174408" name="Text Box 3"/>
        <xdr:cNvSpPr txBox="1">
          <a:spLocks noChangeArrowheads="1"/>
        </xdr:cNvSpPr>
      </xdr:nvSpPr>
      <xdr:spPr bwMode="auto">
        <a:xfrm>
          <a:off x="45053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1174409" name="Text Box 4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1174410" name="Text Box 5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6</xdr:col>
      <xdr:colOff>628649</xdr:colOff>
      <xdr:row>20</xdr:row>
      <xdr:rowOff>47625</xdr:rowOff>
    </xdr:to>
    <xdr:sp macro="" textlink="">
      <xdr:nvSpPr>
        <xdr:cNvPr id="1174411" name="Text Box 6"/>
        <xdr:cNvSpPr txBox="1">
          <a:spLocks noChangeArrowheads="1"/>
        </xdr:cNvSpPr>
      </xdr:nvSpPr>
      <xdr:spPr bwMode="auto">
        <a:xfrm>
          <a:off x="4229100" y="299085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20</xdr:row>
      <xdr:rowOff>47625</xdr:rowOff>
    </xdr:to>
    <xdr:sp macro="" textlink="">
      <xdr:nvSpPr>
        <xdr:cNvPr id="1174412" name="Text Box 8"/>
        <xdr:cNvSpPr txBox="1">
          <a:spLocks noChangeArrowheads="1"/>
        </xdr:cNvSpPr>
      </xdr:nvSpPr>
      <xdr:spPr bwMode="auto">
        <a:xfrm>
          <a:off x="672465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76200</xdr:colOff>
      <xdr:row>15</xdr:row>
      <xdr:rowOff>228600</xdr:rowOff>
    </xdr:to>
    <xdr:sp macro="" textlink="">
      <xdr:nvSpPr>
        <xdr:cNvPr id="1174413" name="Text Box 9"/>
        <xdr:cNvSpPr txBox="1">
          <a:spLocks noChangeArrowheads="1"/>
        </xdr:cNvSpPr>
      </xdr:nvSpPr>
      <xdr:spPr bwMode="auto">
        <a:xfrm>
          <a:off x="45053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1174414" name="Text Box 10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76200</xdr:colOff>
      <xdr:row>20</xdr:row>
      <xdr:rowOff>47625</xdr:rowOff>
    </xdr:to>
    <xdr:sp macro="" textlink="">
      <xdr:nvSpPr>
        <xdr:cNvPr id="1174415" name="Text Box 11"/>
        <xdr:cNvSpPr txBox="1">
          <a:spLocks noChangeArrowheads="1"/>
        </xdr:cNvSpPr>
      </xdr:nvSpPr>
      <xdr:spPr bwMode="auto">
        <a:xfrm>
          <a:off x="7353300" y="2905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19</xdr:row>
      <xdr:rowOff>104775</xdr:rowOff>
    </xdr:from>
    <xdr:to>
      <xdr:col>7</xdr:col>
      <xdr:colOff>19049</xdr:colOff>
      <xdr:row>20</xdr:row>
      <xdr:rowOff>66675</xdr:rowOff>
    </xdr:to>
    <xdr:sp macro="" textlink="">
      <xdr:nvSpPr>
        <xdr:cNvPr id="1174416" name="Text Box 12"/>
        <xdr:cNvSpPr txBox="1">
          <a:spLocks noChangeArrowheads="1"/>
        </xdr:cNvSpPr>
      </xdr:nvSpPr>
      <xdr:spPr bwMode="auto">
        <a:xfrm>
          <a:off x="4295775" y="300990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174417" name="Text Box 2"/>
        <xdr:cNvSpPr txBox="1">
          <a:spLocks noChangeArrowheads="1"/>
        </xdr:cNvSpPr>
      </xdr:nvSpPr>
      <xdr:spPr bwMode="auto">
        <a:xfrm>
          <a:off x="672465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174418" name="Text Box 4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174419" name="Text Box 5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85725</xdr:rowOff>
    </xdr:from>
    <xdr:to>
      <xdr:col>6</xdr:col>
      <xdr:colOff>628649</xdr:colOff>
      <xdr:row>19</xdr:row>
      <xdr:rowOff>47625</xdr:rowOff>
    </xdr:to>
    <xdr:sp macro="" textlink="">
      <xdr:nvSpPr>
        <xdr:cNvPr id="1174420" name="Text Box 6"/>
        <xdr:cNvSpPr txBox="1">
          <a:spLocks noChangeArrowheads="1"/>
        </xdr:cNvSpPr>
      </xdr:nvSpPr>
      <xdr:spPr bwMode="auto">
        <a:xfrm>
          <a:off x="4229100" y="283845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174421" name="Text Box 8"/>
        <xdr:cNvSpPr txBox="1">
          <a:spLocks noChangeArrowheads="1"/>
        </xdr:cNvSpPr>
      </xdr:nvSpPr>
      <xdr:spPr bwMode="auto">
        <a:xfrm>
          <a:off x="672465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76200</xdr:colOff>
      <xdr:row>19</xdr:row>
      <xdr:rowOff>47625</xdr:rowOff>
    </xdr:to>
    <xdr:sp macro="" textlink="">
      <xdr:nvSpPr>
        <xdr:cNvPr id="1174422" name="Text Box 10"/>
        <xdr:cNvSpPr txBox="1">
          <a:spLocks noChangeArrowheads="1"/>
        </xdr:cNvSpPr>
      </xdr:nvSpPr>
      <xdr:spPr bwMode="auto">
        <a:xfrm>
          <a:off x="7353300" y="275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18</xdr:row>
      <xdr:rowOff>47625</xdr:rowOff>
    </xdr:from>
    <xdr:to>
      <xdr:col>16</xdr:col>
      <xdr:colOff>85725</xdr:colOff>
      <xdr:row>19</xdr:row>
      <xdr:rowOff>95250</xdr:rowOff>
    </xdr:to>
    <xdr:sp macro="" textlink="">
      <xdr:nvSpPr>
        <xdr:cNvPr id="1174423" name="Text Box 11"/>
        <xdr:cNvSpPr txBox="1">
          <a:spLocks noChangeArrowheads="1"/>
        </xdr:cNvSpPr>
      </xdr:nvSpPr>
      <xdr:spPr bwMode="auto">
        <a:xfrm>
          <a:off x="736282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18</xdr:row>
      <xdr:rowOff>104775</xdr:rowOff>
    </xdr:from>
    <xdr:to>
      <xdr:col>7</xdr:col>
      <xdr:colOff>19049</xdr:colOff>
      <xdr:row>19</xdr:row>
      <xdr:rowOff>66675</xdr:rowOff>
    </xdr:to>
    <xdr:sp macro="" textlink="">
      <xdr:nvSpPr>
        <xdr:cNvPr id="1174424" name="Text Box 12"/>
        <xdr:cNvSpPr txBox="1">
          <a:spLocks noChangeArrowheads="1"/>
        </xdr:cNvSpPr>
      </xdr:nvSpPr>
      <xdr:spPr bwMode="auto">
        <a:xfrm>
          <a:off x="4295775" y="2857500"/>
          <a:ext cx="904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1445380" name="Rectangle 1"/>
        <xdr:cNvSpPr>
          <a:spLocks noChangeArrowheads="1"/>
        </xdr:cNvSpPr>
      </xdr:nvSpPr>
      <xdr:spPr bwMode="auto">
        <a:xfrm>
          <a:off x="228600" y="457200"/>
          <a:ext cx="2314575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381" name="Text Box 2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76200</xdr:colOff>
      <xdr:row>15</xdr:row>
      <xdr:rowOff>85725</xdr:rowOff>
    </xdr:to>
    <xdr:sp macro="" textlink="">
      <xdr:nvSpPr>
        <xdr:cNvPr id="1445382" name="Text Box 3"/>
        <xdr:cNvSpPr txBox="1">
          <a:spLocks noChangeArrowheads="1"/>
        </xdr:cNvSpPr>
      </xdr:nvSpPr>
      <xdr:spPr bwMode="auto">
        <a:xfrm>
          <a:off x="4238625" y="222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24</xdr:row>
      <xdr:rowOff>0</xdr:rowOff>
    </xdr:from>
    <xdr:to>
      <xdr:col>14</xdr:col>
      <xdr:colOff>142875</xdr:colOff>
      <xdr:row>25</xdr:row>
      <xdr:rowOff>47625</xdr:rowOff>
    </xdr:to>
    <xdr:sp macro="" textlink="">
      <xdr:nvSpPr>
        <xdr:cNvPr id="1445383" name="Text Box 4"/>
        <xdr:cNvSpPr txBox="1">
          <a:spLocks noChangeArrowheads="1"/>
        </xdr:cNvSpPr>
      </xdr:nvSpPr>
      <xdr:spPr bwMode="auto">
        <a:xfrm>
          <a:off x="641032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47625</xdr:colOff>
      <xdr:row>24</xdr:row>
      <xdr:rowOff>0</xdr:rowOff>
    </xdr:from>
    <xdr:to>
      <xdr:col>15</xdr:col>
      <xdr:colOff>123825</xdr:colOff>
      <xdr:row>25</xdr:row>
      <xdr:rowOff>47625</xdr:rowOff>
    </xdr:to>
    <xdr:sp macro="" textlink="">
      <xdr:nvSpPr>
        <xdr:cNvPr id="1445384" name="Text Box 5"/>
        <xdr:cNvSpPr txBox="1">
          <a:spLocks noChangeArrowheads="1"/>
        </xdr:cNvSpPr>
      </xdr:nvSpPr>
      <xdr:spPr bwMode="auto">
        <a:xfrm>
          <a:off x="669607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409575</xdr:colOff>
      <xdr:row>25</xdr:row>
      <xdr:rowOff>47625</xdr:rowOff>
    </xdr:to>
    <xdr:sp macro="" textlink="">
      <xdr:nvSpPr>
        <xdr:cNvPr id="1445385" name="Text Box 6"/>
        <xdr:cNvSpPr txBox="1">
          <a:spLocks noChangeArrowheads="1"/>
        </xdr:cNvSpPr>
      </xdr:nvSpPr>
      <xdr:spPr bwMode="auto">
        <a:xfrm>
          <a:off x="347662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45386" name="Rectangle 7"/>
        <xdr:cNvSpPr>
          <a:spLocks noChangeArrowheads="1"/>
        </xdr:cNvSpPr>
      </xdr:nvSpPr>
      <xdr:spPr bwMode="auto">
        <a:xfrm>
          <a:off x="28575" y="457200"/>
          <a:ext cx="200025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1445387" name="Rectangle 8"/>
        <xdr:cNvSpPr>
          <a:spLocks noChangeArrowheads="1"/>
        </xdr:cNvSpPr>
      </xdr:nvSpPr>
      <xdr:spPr bwMode="auto">
        <a:xfrm>
          <a:off x="228600" y="457200"/>
          <a:ext cx="2314575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388" name="Text Box 9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76200</xdr:colOff>
      <xdr:row>15</xdr:row>
      <xdr:rowOff>85725</xdr:rowOff>
    </xdr:to>
    <xdr:sp macro="" textlink="">
      <xdr:nvSpPr>
        <xdr:cNvPr id="1445389" name="Text Box 10"/>
        <xdr:cNvSpPr txBox="1">
          <a:spLocks noChangeArrowheads="1"/>
        </xdr:cNvSpPr>
      </xdr:nvSpPr>
      <xdr:spPr bwMode="auto">
        <a:xfrm>
          <a:off x="4238625" y="222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24</xdr:row>
      <xdr:rowOff>0</xdr:rowOff>
    </xdr:from>
    <xdr:to>
      <xdr:col>14</xdr:col>
      <xdr:colOff>142875</xdr:colOff>
      <xdr:row>25</xdr:row>
      <xdr:rowOff>47625</xdr:rowOff>
    </xdr:to>
    <xdr:sp macro="" textlink="">
      <xdr:nvSpPr>
        <xdr:cNvPr id="1445390" name="Text Box 11"/>
        <xdr:cNvSpPr txBox="1">
          <a:spLocks noChangeArrowheads="1"/>
        </xdr:cNvSpPr>
      </xdr:nvSpPr>
      <xdr:spPr bwMode="auto">
        <a:xfrm>
          <a:off x="641032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47625</xdr:colOff>
      <xdr:row>24</xdr:row>
      <xdr:rowOff>0</xdr:rowOff>
    </xdr:from>
    <xdr:to>
      <xdr:col>15</xdr:col>
      <xdr:colOff>123825</xdr:colOff>
      <xdr:row>25</xdr:row>
      <xdr:rowOff>47625</xdr:rowOff>
    </xdr:to>
    <xdr:sp macro="" textlink="">
      <xdr:nvSpPr>
        <xdr:cNvPr id="1445391" name="Text Box 12"/>
        <xdr:cNvSpPr txBox="1">
          <a:spLocks noChangeArrowheads="1"/>
        </xdr:cNvSpPr>
      </xdr:nvSpPr>
      <xdr:spPr bwMode="auto">
        <a:xfrm>
          <a:off x="669607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409575</xdr:colOff>
      <xdr:row>25</xdr:row>
      <xdr:rowOff>47625</xdr:rowOff>
    </xdr:to>
    <xdr:sp macro="" textlink="">
      <xdr:nvSpPr>
        <xdr:cNvPr id="1445392" name="Text Box 13"/>
        <xdr:cNvSpPr txBox="1">
          <a:spLocks noChangeArrowheads="1"/>
        </xdr:cNvSpPr>
      </xdr:nvSpPr>
      <xdr:spPr bwMode="auto">
        <a:xfrm>
          <a:off x="3476625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45393" name="Rectangle 14"/>
        <xdr:cNvSpPr>
          <a:spLocks noChangeArrowheads="1"/>
        </xdr:cNvSpPr>
      </xdr:nvSpPr>
      <xdr:spPr bwMode="auto">
        <a:xfrm>
          <a:off x="28575" y="457200"/>
          <a:ext cx="200025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394" name="Text Box 15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395" name="Text Box 16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396" name="Text Box 17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397" name="Text Box 18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398" name="Text Box 19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399" name="Text Box 20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400" name="Text Box 21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76200</xdr:colOff>
      <xdr:row>25</xdr:row>
      <xdr:rowOff>47625</xdr:rowOff>
    </xdr:to>
    <xdr:sp macro="" textlink="">
      <xdr:nvSpPr>
        <xdr:cNvPr id="1445401" name="Text Box 22"/>
        <xdr:cNvSpPr txBox="1">
          <a:spLocks noChangeArrowheads="1"/>
        </xdr:cNvSpPr>
      </xdr:nvSpPr>
      <xdr:spPr bwMode="auto">
        <a:xfrm>
          <a:off x="5581650" y="298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2" name="Text Box 23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3" name="Text Box 24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4" name="Text Box 25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5" name="Text Box 26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6" name="Text Box 27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7" name="Text Box 28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8" name="Text Box 29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47625</xdr:rowOff>
    </xdr:to>
    <xdr:sp macro="" textlink="">
      <xdr:nvSpPr>
        <xdr:cNvPr id="1445409" name="Text Box 30"/>
        <xdr:cNvSpPr txBox="1">
          <a:spLocks noChangeArrowheads="1"/>
        </xdr:cNvSpPr>
      </xdr:nvSpPr>
      <xdr:spPr bwMode="auto">
        <a:xfrm>
          <a:off x="5581650" y="313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76200</xdr:colOff>
      <xdr:row>27</xdr:row>
      <xdr:rowOff>47625</xdr:rowOff>
    </xdr:to>
    <xdr:sp macro="" textlink="">
      <xdr:nvSpPr>
        <xdr:cNvPr id="1445410" name="Text Box 31"/>
        <xdr:cNvSpPr txBox="1">
          <a:spLocks noChangeArrowheads="1"/>
        </xdr:cNvSpPr>
      </xdr:nvSpPr>
      <xdr:spPr bwMode="auto">
        <a:xfrm>
          <a:off x="5581650" y="328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76200</xdr:colOff>
      <xdr:row>27</xdr:row>
      <xdr:rowOff>47625</xdr:rowOff>
    </xdr:to>
    <xdr:sp macro="" textlink="">
      <xdr:nvSpPr>
        <xdr:cNvPr id="1445411" name="Text Box 32"/>
        <xdr:cNvSpPr txBox="1">
          <a:spLocks noChangeArrowheads="1"/>
        </xdr:cNvSpPr>
      </xdr:nvSpPr>
      <xdr:spPr bwMode="auto">
        <a:xfrm>
          <a:off x="5581650" y="328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62575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3</xdr:col>
      <xdr:colOff>466725</xdr:colOff>
      <xdr:row>19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209925" y="33623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362575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3</xdr:col>
      <xdr:colOff>466725</xdr:colOff>
      <xdr:row>19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09925" y="33623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18</xdr:row>
      <xdr:rowOff>47625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362575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466725</xdr:colOff>
      <xdr:row>18</xdr:row>
      <xdr:rowOff>28575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3209925" y="3124200"/>
          <a:ext cx="1333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0" name="Rectangle 7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18</xdr:row>
      <xdr:rowOff>47625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5362575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466725</xdr:colOff>
      <xdr:row>18</xdr:row>
      <xdr:rowOff>28575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3209925" y="3124200"/>
          <a:ext cx="1333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76200</xdr:colOff>
      <xdr:row>17</xdr:row>
      <xdr:rowOff>47625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5362575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76200</xdr:colOff>
      <xdr:row>17</xdr:row>
      <xdr:rowOff>47625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5362575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1537133" name="Rectangle 1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537134" name="Text Box 2"/>
        <xdr:cNvSpPr txBox="1">
          <a:spLocks noChangeArrowheads="1"/>
        </xdr:cNvSpPr>
      </xdr:nvSpPr>
      <xdr:spPr bwMode="auto">
        <a:xfrm>
          <a:off x="5362575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537135" name="Text Box 3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537136" name="Text Box 4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537137" name="Text Box 5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3</xdr:col>
      <xdr:colOff>466725</xdr:colOff>
      <xdr:row>19</xdr:row>
      <xdr:rowOff>104775</xdr:rowOff>
    </xdr:to>
    <xdr:sp macro="" textlink="">
      <xdr:nvSpPr>
        <xdr:cNvPr id="1537138" name="Text Box 6"/>
        <xdr:cNvSpPr txBox="1">
          <a:spLocks noChangeArrowheads="1"/>
        </xdr:cNvSpPr>
      </xdr:nvSpPr>
      <xdr:spPr bwMode="auto">
        <a:xfrm>
          <a:off x="3209925" y="33623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1537139" name="Rectangle 7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76200</xdr:colOff>
      <xdr:row>19</xdr:row>
      <xdr:rowOff>47625</xdr:rowOff>
    </xdr:to>
    <xdr:sp macro="" textlink="">
      <xdr:nvSpPr>
        <xdr:cNvPr id="1537140" name="Text Box 8"/>
        <xdr:cNvSpPr txBox="1">
          <a:spLocks noChangeArrowheads="1"/>
        </xdr:cNvSpPr>
      </xdr:nvSpPr>
      <xdr:spPr bwMode="auto">
        <a:xfrm>
          <a:off x="5362575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537141" name="Text Box 9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537142" name="Text Box 10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76200</xdr:colOff>
      <xdr:row>19</xdr:row>
      <xdr:rowOff>47625</xdr:rowOff>
    </xdr:to>
    <xdr:sp macro="" textlink="">
      <xdr:nvSpPr>
        <xdr:cNvPr id="1537143" name="Text Box 11"/>
        <xdr:cNvSpPr txBox="1">
          <a:spLocks noChangeArrowheads="1"/>
        </xdr:cNvSpPr>
      </xdr:nvSpPr>
      <xdr:spPr bwMode="auto">
        <a:xfrm>
          <a:off x="6305550" y="3276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19</xdr:row>
      <xdr:rowOff>85725</xdr:rowOff>
    </xdr:from>
    <xdr:to>
      <xdr:col>3</xdr:col>
      <xdr:colOff>466725</xdr:colOff>
      <xdr:row>19</xdr:row>
      <xdr:rowOff>104775</xdr:rowOff>
    </xdr:to>
    <xdr:sp macro="" textlink="">
      <xdr:nvSpPr>
        <xdr:cNvPr id="1537144" name="Text Box 12"/>
        <xdr:cNvSpPr txBox="1">
          <a:spLocks noChangeArrowheads="1"/>
        </xdr:cNvSpPr>
      </xdr:nvSpPr>
      <xdr:spPr bwMode="auto">
        <a:xfrm>
          <a:off x="3209925" y="33623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1537145" name="Rectangle 1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18</xdr:row>
      <xdr:rowOff>47625</xdr:rowOff>
    </xdr:to>
    <xdr:sp macro="" textlink="">
      <xdr:nvSpPr>
        <xdr:cNvPr id="1537146" name="Text Box 2"/>
        <xdr:cNvSpPr txBox="1">
          <a:spLocks noChangeArrowheads="1"/>
        </xdr:cNvSpPr>
      </xdr:nvSpPr>
      <xdr:spPr bwMode="auto">
        <a:xfrm>
          <a:off x="5362575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537147" name="Text Box 3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537148" name="Text Box 4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537149" name="Text Box 5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466725</xdr:colOff>
      <xdr:row>18</xdr:row>
      <xdr:rowOff>28575</xdr:rowOff>
    </xdr:to>
    <xdr:sp macro="" textlink="">
      <xdr:nvSpPr>
        <xdr:cNvPr id="1537150" name="Text Box 6"/>
        <xdr:cNvSpPr txBox="1">
          <a:spLocks noChangeArrowheads="1"/>
        </xdr:cNvSpPr>
      </xdr:nvSpPr>
      <xdr:spPr bwMode="auto">
        <a:xfrm>
          <a:off x="3209925" y="3124200"/>
          <a:ext cx="1333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1537151" name="Rectangle 7"/>
        <xdr:cNvSpPr>
          <a:spLocks noChangeArrowheads="1"/>
        </xdr:cNvSpPr>
      </xdr:nvSpPr>
      <xdr:spPr bwMode="auto">
        <a:xfrm>
          <a:off x="390525" y="0"/>
          <a:ext cx="1866900" cy="0"/>
        </a:xfrm>
        <a:prstGeom prst="rect">
          <a:avLst/>
        </a:prstGeom>
        <a:noFill/>
        <a:ln w="9525">
          <a:solidFill>
            <a:srgbClr val="CCCCFF"/>
          </a:solidFill>
          <a:miter lim="800000"/>
          <a:headEnd/>
          <a:tailEnd/>
        </a:ln>
        <a:effectLst>
          <a:prstShdw prst="shdw17" dist="17961" dir="2700000">
            <a:srgbClr val="7A7A99"/>
          </a:prst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76200</xdr:colOff>
      <xdr:row>18</xdr:row>
      <xdr:rowOff>47625</xdr:rowOff>
    </xdr:to>
    <xdr:sp macro="" textlink="">
      <xdr:nvSpPr>
        <xdr:cNvPr id="1537152" name="Text Box 8"/>
        <xdr:cNvSpPr txBox="1">
          <a:spLocks noChangeArrowheads="1"/>
        </xdr:cNvSpPr>
      </xdr:nvSpPr>
      <xdr:spPr bwMode="auto">
        <a:xfrm>
          <a:off x="5362575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15</xdr:row>
      <xdr:rowOff>28575</xdr:rowOff>
    </xdr:from>
    <xdr:to>
      <xdr:col>6</xdr:col>
      <xdr:colOff>95250</xdr:colOff>
      <xdr:row>15</xdr:row>
      <xdr:rowOff>57150</xdr:rowOff>
    </xdr:to>
    <xdr:sp macro="" textlink="">
      <xdr:nvSpPr>
        <xdr:cNvPr id="1537153" name="Text Box 9"/>
        <xdr:cNvSpPr txBox="1">
          <a:spLocks noChangeArrowheads="1"/>
        </xdr:cNvSpPr>
      </xdr:nvSpPr>
      <xdr:spPr bwMode="auto">
        <a:xfrm>
          <a:off x="3381375" y="2505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537154" name="Text Box 10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47625</xdr:rowOff>
    </xdr:to>
    <xdr:sp macro="" textlink="">
      <xdr:nvSpPr>
        <xdr:cNvPr id="1537155" name="Text Box 11"/>
        <xdr:cNvSpPr txBox="1">
          <a:spLocks noChangeArrowheads="1"/>
        </xdr:cNvSpPr>
      </xdr:nvSpPr>
      <xdr:spPr bwMode="auto">
        <a:xfrm>
          <a:off x="6305550" y="3124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466725</xdr:colOff>
      <xdr:row>18</xdr:row>
      <xdr:rowOff>28575</xdr:rowOff>
    </xdr:to>
    <xdr:sp macro="" textlink="">
      <xdr:nvSpPr>
        <xdr:cNvPr id="1537156" name="Text Box 12"/>
        <xdr:cNvSpPr txBox="1">
          <a:spLocks noChangeArrowheads="1"/>
        </xdr:cNvSpPr>
      </xdr:nvSpPr>
      <xdr:spPr bwMode="auto">
        <a:xfrm>
          <a:off x="3209925" y="3124200"/>
          <a:ext cx="1333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76200</xdr:colOff>
      <xdr:row>17</xdr:row>
      <xdr:rowOff>47625</xdr:rowOff>
    </xdr:to>
    <xdr:sp macro="" textlink="">
      <xdr:nvSpPr>
        <xdr:cNvPr id="1537157" name="Text Box 2"/>
        <xdr:cNvSpPr txBox="1">
          <a:spLocks noChangeArrowheads="1"/>
        </xdr:cNvSpPr>
      </xdr:nvSpPr>
      <xdr:spPr bwMode="auto">
        <a:xfrm>
          <a:off x="5362575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1537158" name="Text Box 4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1537159" name="Text Box 5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76200</xdr:colOff>
      <xdr:row>17</xdr:row>
      <xdr:rowOff>47625</xdr:rowOff>
    </xdr:to>
    <xdr:sp macro="" textlink="">
      <xdr:nvSpPr>
        <xdr:cNvPr id="1537160" name="Text Box 8"/>
        <xdr:cNvSpPr txBox="1">
          <a:spLocks noChangeArrowheads="1"/>
        </xdr:cNvSpPr>
      </xdr:nvSpPr>
      <xdr:spPr bwMode="auto">
        <a:xfrm>
          <a:off x="5362575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1537161" name="Text Box 10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47625</xdr:rowOff>
    </xdr:to>
    <xdr:sp macro="" textlink="">
      <xdr:nvSpPr>
        <xdr:cNvPr id="1537162" name="Text Box 11"/>
        <xdr:cNvSpPr txBox="1">
          <a:spLocks noChangeArrowheads="1"/>
        </xdr:cNvSpPr>
      </xdr:nvSpPr>
      <xdr:spPr bwMode="auto">
        <a:xfrm>
          <a:off x="6305550" y="2971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11492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11492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12" name="Text Box 21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13" name="Text Box 2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511492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11492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9" name="Text Box 16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0" name="Text Box 21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1" name="Text Box 2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8953500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37" name="Text Box 32"/>
        <xdr:cNvSpPr txBox="1">
          <a:spLocks noChangeArrowheads="1"/>
        </xdr:cNvSpPr>
      </xdr:nvSpPr>
      <xdr:spPr bwMode="auto">
        <a:xfrm>
          <a:off x="8953500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8" name="Text Box 23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9" name="Text Box 24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0" name="Text Box 25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1" name="Text Box 26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3" name="Text Box 28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4" name="Text Box 29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5" name="Text Box 30"/>
        <xdr:cNvSpPr txBox="1">
          <a:spLocks noChangeArrowheads="1"/>
        </xdr:cNvSpPr>
      </xdr:nvSpPr>
      <xdr:spPr bwMode="auto">
        <a:xfrm>
          <a:off x="8953500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57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8953500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5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895350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8953500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69" name="Text Box 32"/>
        <xdr:cNvSpPr txBox="1">
          <a:spLocks noChangeArrowheads="1"/>
        </xdr:cNvSpPr>
      </xdr:nvSpPr>
      <xdr:spPr bwMode="auto">
        <a:xfrm>
          <a:off x="8953500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3" name="Text Box 16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8" name="Text Box 21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2" name="Text Box 25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3" name="Text Box 26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4" name="Text Box 27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5" name="Text Box 28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2" name="Text Box 21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3" name="Text Box 2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8953500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6" name="Text Box 21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7" name="Text Box 22"/>
        <xdr:cNvSpPr txBox="1">
          <a:spLocks noChangeArrowheads="1"/>
        </xdr:cNvSpPr>
      </xdr:nvSpPr>
      <xdr:spPr bwMode="auto">
        <a:xfrm>
          <a:off x="8953500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1" name="Text Box 16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4" name="Text Box 19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6" name="Text Box 21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7" name="Text Box 2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8" name="Text Box 23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9" name="Text Box 24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1" name="Text Box 26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3" name="Text Box 28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4" name="Text Box 29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5" name="Text Box 30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9" name="Text Box 16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1" name="Text Box 2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51" name="Text Box 2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2" name="Text Box 23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3" name="Text Box 24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4" name="Text Box 25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5" name="Text Box 26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6" name="Text Box 27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7" name="Text Box 28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8" name="Text Box 29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9" name="Text Box 30"/>
        <xdr:cNvSpPr txBox="1">
          <a:spLocks noChangeArrowheads="1"/>
        </xdr:cNvSpPr>
      </xdr:nvSpPr>
      <xdr:spPr bwMode="auto">
        <a:xfrm>
          <a:off x="8953500" y="4448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8953500" y="444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1" name="Text Box 18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2" name="Text Box 19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3" name="Text Box 20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74" name="Text Box 21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75" name="Text Box 2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6" name="Text Box 23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7" name="Text Box 24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8" name="Text Box 25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79" name="Text Box 26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80" name="Text Box 27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81" name="Text Box 28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82" name="Text Box 29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83" name="Text Box 30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8" name="Text Box 21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89" name="Text Box 2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28575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8953500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11" name="Text Box 16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12" name="Text Box 21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19050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8953500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6" name="Text Box 21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7" name="Text Box 2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1" name="Text Box 16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6" name="Text Box 21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7" name="Text Box 2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8" name="Text Box 23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9" name="Text Box 24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0" name="Text Box 25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1" name="Text Box 26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2" name="Text Box 27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3" name="Text Box 28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4" name="Text Box 29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5" name="Text Box 30"/>
        <xdr:cNvSpPr txBox="1">
          <a:spLocks noChangeArrowheads="1"/>
        </xdr:cNvSpPr>
      </xdr:nvSpPr>
      <xdr:spPr bwMode="auto">
        <a:xfrm>
          <a:off x="8953500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9" name="Text Box 16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8953500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65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67" name="Text Box 1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70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71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3" name="Text Box 24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4" name="Text Box 25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6" name="Text Box 2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7" name="Text Box 2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8" name="Text Box 2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79" name="Text Box 3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3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4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5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89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1" name="Text Box 1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3" name="Text Box 2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94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295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6" name="Text Box 23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7" name="Text Box 24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8" name="Text Box 25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299" name="Text Box 26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00" name="Text Box 2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01" name="Text Box 2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02" name="Text Box 2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03" name="Text Box 3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8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09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3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19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0" name="Text Box 23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1" name="Text Box 24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2" name="Text Box 25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3" name="Text Box 26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4" name="Text Box 2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5" name="Text Box 2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6" name="Text Box 2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27" name="Text Box 3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3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28575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8953500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19050</xdr:rowOff>
    </xdr:to>
    <xdr:sp macro="" textlink="">
      <xdr:nvSpPr>
        <xdr:cNvPr id="357" name="Text Box 22"/>
        <xdr:cNvSpPr txBox="1">
          <a:spLocks noChangeArrowheads="1"/>
        </xdr:cNvSpPr>
      </xdr:nvSpPr>
      <xdr:spPr bwMode="auto">
        <a:xfrm>
          <a:off x="8953500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1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6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7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8" name="Text Box 23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9" name="Text Box 24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0" name="Text Box 25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1" name="Text Box 26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2" name="Text Box 2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3" name="Text Box 2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4" name="Text Box 2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5" name="Text Box 3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9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6" name="Text Box 1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7" name="Text Box 1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90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91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2" name="Text Box 23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3" name="Text Box 24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4" name="Text Box 25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5" name="Text Box 26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6" name="Text Box 2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7" name="Text Box 2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8" name="Text Box 2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9" name="Text Box 3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3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4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5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9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15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6" name="Text Box 23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7" name="Text Box 24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8" name="Text Box 25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0" name="Text Box 2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1" name="Text Box 2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2" name="Text Box 2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3" name="Text Box 3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7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8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9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3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5" name="Text Box 1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9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0" name="Text Box 23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1" name="Text Box 24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2" name="Text Box 25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3" name="Text Box 26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4" name="Text Box 27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5" name="Text Box 28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6" name="Text Box 29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7" name="Text Box 30"/>
        <xdr:cNvSpPr txBox="1">
          <a:spLocks noChangeArrowheads="1"/>
        </xdr:cNvSpPr>
      </xdr:nvSpPr>
      <xdr:spPr bwMode="auto">
        <a:xfrm>
          <a:off x="8953500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8953500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6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7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81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2" name="Text Box 1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3" name="Text Box 1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86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87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89" name="Text Box 24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0" name="Text Box 25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1" name="Text Box 26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2" name="Text Box 2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3" name="Text Box 2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4" name="Text Box 2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495" name="Text Box 3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0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1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11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2" name="Text Box 23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3" name="Text Box 24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4" name="Text Box 25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5" name="Text Box 26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6" name="Text Box 2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7" name="Text Box 2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8" name="Text Box 2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19" name="Text Box 3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4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5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29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34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35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6" name="Text Box 23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7" name="Text Box 24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8" name="Text Box 25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39" name="Text Box 26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40" name="Text Box 27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41" name="Text Box 28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42" name="Text Box 29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28575</xdr:rowOff>
    </xdr:to>
    <xdr:sp macro="" textlink="">
      <xdr:nvSpPr>
        <xdr:cNvPr id="543" name="Text Box 30"/>
        <xdr:cNvSpPr txBox="1">
          <a:spLocks noChangeArrowheads="1"/>
        </xdr:cNvSpPr>
      </xdr:nvSpPr>
      <xdr:spPr bwMode="auto">
        <a:xfrm>
          <a:off x="8953500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7" name="Text Box 16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8" name="Text Box 21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19050</xdr:rowOff>
    </xdr:to>
    <xdr:sp macro="" textlink="">
      <xdr:nvSpPr>
        <xdr:cNvPr id="549" name="Text Box 22"/>
        <xdr:cNvSpPr txBox="1">
          <a:spLocks noChangeArrowheads="1"/>
        </xdr:cNvSpPr>
      </xdr:nvSpPr>
      <xdr:spPr bwMode="auto">
        <a:xfrm>
          <a:off x="8953500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3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4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5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7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8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9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0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1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2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3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4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5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6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7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2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3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6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1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2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3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4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6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7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8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9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1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2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3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4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5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9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0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1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31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2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3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4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6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7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8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9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4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5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9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54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55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6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7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8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9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0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1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2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3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8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9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8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9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0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1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2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3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4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5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6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7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1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1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8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9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0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1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2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3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4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5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0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7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9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50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51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2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3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4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5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6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7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8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9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4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5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9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0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1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3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74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75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6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7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8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9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0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1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2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3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3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4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5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7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8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9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0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1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2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3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4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5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6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7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1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2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5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41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2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3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5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46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47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8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49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0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1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2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3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4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55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59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0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1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65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70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71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2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3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4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5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6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7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8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79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4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94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895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6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7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8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899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00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01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02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03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7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8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09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3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15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17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8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19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0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1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2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3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4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5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6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27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1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2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3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6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7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61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2" name="Text Box 1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3" name="Text Box 1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66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67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8" name="Text Box 23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69" name="Text Box 24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0" name="Text Box 25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1" name="Text Box 26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2" name="Text Box 27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3" name="Text Box 28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4" name="Text Box 29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28575</xdr:rowOff>
    </xdr:to>
    <xdr:sp macro="" textlink="">
      <xdr:nvSpPr>
        <xdr:cNvPr id="975" name="Text Box 30"/>
        <xdr:cNvSpPr txBox="1">
          <a:spLocks noChangeArrowheads="1"/>
        </xdr:cNvSpPr>
      </xdr:nvSpPr>
      <xdr:spPr bwMode="auto">
        <a:xfrm>
          <a:off x="8953500" y="44481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79" name="Text Box 16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80" name="Text Box 21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19050</xdr:rowOff>
    </xdr:to>
    <xdr:sp macro="" textlink="">
      <xdr:nvSpPr>
        <xdr:cNvPr id="981" name="Text Box 22"/>
        <xdr:cNvSpPr txBox="1">
          <a:spLocks noChangeArrowheads="1"/>
        </xdr:cNvSpPr>
      </xdr:nvSpPr>
      <xdr:spPr bwMode="auto">
        <a:xfrm>
          <a:off x="8953500" y="44481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5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91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2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3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4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6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7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8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9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3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4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5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0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1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14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15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6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7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8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9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0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1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2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3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8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3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4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5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8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0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1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2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3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4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5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6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7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2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3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5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6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7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1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6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7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8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9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0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1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2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3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4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5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9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0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5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10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11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2" name="Text Box 23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3" name="Text Box 24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4" name="Text Box 25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5" name="Text Box 26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6" name="Text Box 27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8" name="Text Box 29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9" name="Text Box 30"/>
        <xdr:cNvSpPr txBox="1">
          <a:spLocks noChangeArrowheads="1"/>
        </xdr:cNvSpPr>
      </xdr:nvSpPr>
      <xdr:spPr bwMode="auto">
        <a:xfrm>
          <a:off x="8953500" y="46482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3" name="Text Box 16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4" name="Text Box 21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5" name="Text Box 22"/>
        <xdr:cNvSpPr txBox="1">
          <a:spLocks noChangeArrowheads="1"/>
        </xdr:cNvSpPr>
      </xdr:nvSpPr>
      <xdr:spPr bwMode="auto">
        <a:xfrm>
          <a:off x="8953500" y="46482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34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35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7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8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40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41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42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43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7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8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49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3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54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55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56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57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0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1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2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3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4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5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6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67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2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3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5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00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2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3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4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5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06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07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8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09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0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2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3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4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15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0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1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4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25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26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27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28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29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30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31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2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3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4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5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6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7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8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39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2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3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4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8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49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0" name="Text Box 1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1" name="Text Box 1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2" name="Text Box 1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54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55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6" name="Text Box 23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7" name="Text Box 24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8" name="Text Box 25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59" name="Text Box 26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60" name="Text Box 27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61" name="Text Box 28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62" name="Text Box 29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28575</xdr:rowOff>
    </xdr:to>
    <xdr:sp macro="" textlink="">
      <xdr:nvSpPr>
        <xdr:cNvPr id="1263" name="Text Box 30"/>
        <xdr:cNvSpPr txBox="1">
          <a:spLocks noChangeArrowheads="1"/>
        </xdr:cNvSpPr>
      </xdr:nvSpPr>
      <xdr:spPr bwMode="auto">
        <a:xfrm>
          <a:off x="8953500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6" name="Text Box 15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7" name="Text Box 16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8" name="Text Box 21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19050</xdr:rowOff>
    </xdr:to>
    <xdr:sp macro="" textlink="">
      <xdr:nvSpPr>
        <xdr:cNvPr id="1269" name="Text Box 22"/>
        <xdr:cNvSpPr txBox="1">
          <a:spLocks noChangeArrowheads="1"/>
        </xdr:cNvSpPr>
      </xdr:nvSpPr>
      <xdr:spPr bwMode="auto">
        <a:xfrm>
          <a:off x="8953500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2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3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4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5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6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7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8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9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1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2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4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5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6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7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0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1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2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3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5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5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6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0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1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6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7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8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9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0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1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2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3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4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5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7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8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9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0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1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3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2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4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6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7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8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9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2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3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4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5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8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9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0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2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3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74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75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6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7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8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9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0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1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2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3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7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8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2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3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6" name="Text Box 1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8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9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0" name="Text Box 23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1" name="Text Box 24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2" name="Text Box 25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3" name="Text Box 26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4" name="Text Box 27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5" name="Text Box 28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6" name="Text Box 29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7" name="Text Box 30"/>
        <xdr:cNvSpPr txBox="1">
          <a:spLocks noChangeArrowheads="1"/>
        </xdr:cNvSpPr>
      </xdr:nvSpPr>
      <xdr:spPr bwMode="auto">
        <a:xfrm>
          <a:off x="8953500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09" name="Text Box 9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0" name="Text Box 15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1" name="Text Box 16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2" name="Text Box 21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3" name="Text Box 22"/>
        <xdr:cNvSpPr txBox="1">
          <a:spLocks noChangeArrowheads="1"/>
        </xdr:cNvSpPr>
      </xdr:nvSpPr>
      <xdr:spPr bwMode="auto">
        <a:xfrm>
          <a:off x="8953500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15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3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5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6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39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40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41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46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47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8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49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0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1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2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3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4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55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57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59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0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3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4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65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66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68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70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71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2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3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4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5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6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7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8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79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1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2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3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4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5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8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89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0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2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3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94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495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7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8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00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01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02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03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6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7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8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09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1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2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3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8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19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0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1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2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3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4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5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6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27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0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1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2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3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28575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8953500" y="52482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4" name="Text Box 15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5" name="Text Box 16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6" name="Text Box 21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19050</xdr:rowOff>
    </xdr:to>
    <xdr:sp macro="" textlink="">
      <xdr:nvSpPr>
        <xdr:cNvPr id="1557" name="Text Box 22"/>
        <xdr:cNvSpPr txBox="1">
          <a:spLocks noChangeArrowheads="1"/>
        </xdr:cNvSpPr>
      </xdr:nvSpPr>
      <xdr:spPr bwMode="auto">
        <a:xfrm>
          <a:off x="8953500" y="52482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59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0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1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6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7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8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9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0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2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3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4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5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8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9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0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4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5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6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8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9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90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91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2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3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4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5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6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7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8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9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2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3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4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5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8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9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6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7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8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9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0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1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2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3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6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7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8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2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3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4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6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7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8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9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0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1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2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4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5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6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7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0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1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2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4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5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6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0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1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6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7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8" name="Text Box 23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9" name="Text Box 24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0" name="Text Box 25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1" name="Text Box 26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2" name="Text Box 27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3" name="Text Box 28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4" name="Text Box 29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5" name="Text Box 30"/>
        <xdr:cNvSpPr txBox="1">
          <a:spLocks noChangeArrowheads="1"/>
        </xdr:cNvSpPr>
      </xdr:nvSpPr>
      <xdr:spPr bwMode="auto">
        <a:xfrm>
          <a:off x="8953500" y="54483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8" name="Text Box 15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9" name="Text Box 16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700" name="Text Box 21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701" name="Text Box 22"/>
        <xdr:cNvSpPr txBox="1">
          <a:spLocks noChangeArrowheads="1"/>
        </xdr:cNvSpPr>
      </xdr:nvSpPr>
      <xdr:spPr bwMode="auto">
        <a:xfrm>
          <a:off x="8953500" y="54483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31</xdr:row>
      <xdr:rowOff>0</xdr:rowOff>
    </xdr:from>
    <xdr:to>
      <xdr:col>8</xdr:col>
      <xdr:colOff>114300</xdr:colOff>
      <xdr:row>32</xdr:row>
      <xdr:rowOff>19050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9916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04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05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06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09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10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11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3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4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6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7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8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19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2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3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4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8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29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34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35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6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7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8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39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40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41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42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43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6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7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8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2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3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54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56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8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59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0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1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2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3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4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5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6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67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0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1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2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3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5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3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4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5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6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799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00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01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2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3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4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5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06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07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8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09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0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1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2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3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4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15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17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18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19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0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3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25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26" name="Text Box 1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27" name="Text Box 1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28" name="Text Box 1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29" name="Text Box 2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30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31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2" name="Text Box 23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3" name="Text Box 24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4" name="Text Box 25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5" name="Text Box 26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6" name="Text Box 27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7" name="Text Box 28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8" name="Text Box 29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28575</xdr:rowOff>
    </xdr:to>
    <xdr:sp macro="" textlink="">
      <xdr:nvSpPr>
        <xdr:cNvPr id="1839" name="Text Box 30"/>
        <xdr:cNvSpPr txBox="1">
          <a:spLocks noChangeArrowheads="1"/>
        </xdr:cNvSpPr>
      </xdr:nvSpPr>
      <xdr:spPr bwMode="auto">
        <a:xfrm>
          <a:off x="8953500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1" name="Text Box 9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3" name="Text Box 16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4" name="Text Box 21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19050</xdr:rowOff>
    </xdr:to>
    <xdr:sp macro="" textlink="">
      <xdr:nvSpPr>
        <xdr:cNvPr id="1845" name="Text Box 22"/>
        <xdr:cNvSpPr txBox="1">
          <a:spLocks noChangeArrowheads="1"/>
        </xdr:cNvSpPr>
      </xdr:nvSpPr>
      <xdr:spPr bwMode="auto">
        <a:xfrm>
          <a:off x="8953500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7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8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9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0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2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3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54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55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6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7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8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9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0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1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2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3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5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7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8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1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2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3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4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5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6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7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8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9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0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1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2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3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4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5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6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7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89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0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1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2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5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3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4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5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6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7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9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0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1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2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3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4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5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6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7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8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9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0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1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2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3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4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5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7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8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9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0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3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4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5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6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7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8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9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50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51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2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3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4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5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6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7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8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9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2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3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4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5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8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9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0" name="Text Box 1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1" name="Text Box 1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2" name="Text Box 1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3" name="Text Box 2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74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75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6" name="Text Box 23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7" name="Text Box 24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8" name="Text Box 25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9" name="Text Box 26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0" name="Text Box 27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1" name="Text Box 28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2" name="Text Box 29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3" name="Text Box 30"/>
        <xdr:cNvSpPr txBox="1">
          <a:spLocks noChangeArrowheads="1"/>
        </xdr:cNvSpPr>
      </xdr:nvSpPr>
      <xdr:spPr bwMode="auto">
        <a:xfrm>
          <a:off x="8953500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6" name="Text Box 15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7" name="Text Box 16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8" name="Text Box 21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9" name="Text Box 22"/>
        <xdr:cNvSpPr txBox="1">
          <a:spLocks noChangeArrowheads="1"/>
        </xdr:cNvSpPr>
      </xdr:nvSpPr>
      <xdr:spPr bwMode="auto">
        <a:xfrm>
          <a:off x="89535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1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2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3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1994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1995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1996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1997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8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1999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0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1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2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3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4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5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6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07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0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1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2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3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4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5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6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39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40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41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2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3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4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5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46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47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8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49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0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1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2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3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4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55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58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59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0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1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3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4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65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66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67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68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69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70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71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2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3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4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5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6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7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8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79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2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3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4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7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8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89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0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1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2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3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94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095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6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7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8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099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00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01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02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03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6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7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8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2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3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14" name="Text Box 1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15" name="Text Box 1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16" name="Text Box 1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8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19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0" name="Text Box 23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1" name="Text Box 24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2" name="Text Box 25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3" name="Text Box 26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4" name="Text Box 27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5" name="Text Box 28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6" name="Text Box 29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28575</xdr:rowOff>
    </xdr:to>
    <xdr:sp macro="" textlink="">
      <xdr:nvSpPr>
        <xdr:cNvPr id="2127" name="Text Box 30"/>
        <xdr:cNvSpPr txBox="1">
          <a:spLocks noChangeArrowheads="1"/>
        </xdr:cNvSpPr>
      </xdr:nvSpPr>
      <xdr:spPr bwMode="auto">
        <a:xfrm>
          <a:off x="8953500" y="60483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29" name="Text Box 9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30" name="Text Box 15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31" name="Text Box 16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32" name="Text Box 21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19050</xdr:rowOff>
    </xdr:to>
    <xdr:sp macro="" textlink="">
      <xdr:nvSpPr>
        <xdr:cNvPr id="2133" name="Text Box 22"/>
        <xdr:cNvSpPr txBox="1">
          <a:spLocks noChangeArrowheads="1"/>
        </xdr:cNvSpPr>
      </xdr:nvSpPr>
      <xdr:spPr bwMode="auto">
        <a:xfrm>
          <a:off x="8953500" y="60483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5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4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5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6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0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1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2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3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4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5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6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7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8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9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0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1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2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3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4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5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7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8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9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0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1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3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4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5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6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7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8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90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91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2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3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4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5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6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7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8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9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1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2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3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4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5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7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8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9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0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1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2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3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14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15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6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7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8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0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1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2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3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5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6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7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8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1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2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3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4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5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6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7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8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9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0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1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2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3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4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5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6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7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0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1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2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3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5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8953500" y="62484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3" name="Text Box 9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4" name="Text Box 15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5" name="Text Box 16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6" name="Text Box 21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7" name="Text Box 22"/>
        <xdr:cNvSpPr txBox="1">
          <a:spLocks noChangeArrowheads="1"/>
        </xdr:cNvSpPr>
      </xdr:nvSpPr>
      <xdr:spPr bwMode="auto">
        <a:xfrm>
          <a:off x="8953500" y="62484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79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80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81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2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3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4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5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86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87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8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89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0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2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3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4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295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97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98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299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0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4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05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06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07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08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09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10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11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2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3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4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5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6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7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8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19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1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2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3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4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8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29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0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1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2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3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34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35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6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7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8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39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40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41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42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43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5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6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7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8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49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1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2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3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54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55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56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57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8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59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0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1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2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3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4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5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6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67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0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1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2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5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3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4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5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6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7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399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00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01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2" name="Text Box 1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3" name="Text Box 1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4" name="Text Box 1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06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07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8" name="Text Box 23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09" name="Text Box 24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0" name="Text Box 25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1" name="Text Box 26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2" name="Text Box 27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3" name="Text Box 28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4" name="Text Box 29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28575</xdr:rowOff>
    </xdr:to>
    <xdr:sp macro="" textlink="">
      <xdr:nvSpPr>
        <xdr:cNvPr id="2415" name="Text Box 30"/>
        <xdr:cNvSpPr txBox="1">
          <a:spLocks noChangeArrowheads="1"/>
        </xdr:cNvSpPr>
      </xdr:nvSpPr>
      <xdr:spPr bwMode="auto">
        <a:xfrm>
          <a:off x="8953500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17" name="Text Box 9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18" name="Text Box 15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19" name="Text Box 16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20" name="Text Box 21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19050</xdr:rowOff>
    </xdr:to>
    <xdr:sp macro="" textlink="">
      <xdr:nvSpPr>
        <xdr:cNvPr id="2421" name="Text Box 22"/>
        <xdr:cNvSpPr txBox="1">
          <a:spLocks noChangeArrowheads="1"/>
        </xdr:cNvSpPr>
      </xdr:nvSpPr>
      <xdr:spPr bwMode="auto">
        <a:xfrm>
          <a:off x="8953500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3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4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5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6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7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8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9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30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31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2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3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4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5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6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7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8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9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1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2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3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4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7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8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9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0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1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2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3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54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55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6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7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8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9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0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1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2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3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5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7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8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9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2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3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4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5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6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8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9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0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1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2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3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4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5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6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7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89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0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1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2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3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5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3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4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5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6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9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0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1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2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3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4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5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6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7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8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9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0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1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2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3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4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5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8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9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0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3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4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5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6" name="Text Box 1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7" name="Text Box 1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8" name="Text Box 1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9" name="Text Box 2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50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51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2" name="Text Box 23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3" name="Text Box 24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4" name="Text Box 25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5" name="Text Box 26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6" name="Text Box 27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7" name="Text Box 28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8" name="Text Box 29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9" name="Text Box 30"/>
        <xdr:cNvSpPr txBox="1">
          <a:spLocks noChangeArrowheads="1"/>
        </xdr:cNvSpPr>
      </xdr:nvSpPr>
      <xdr:spPr bwMode="auto">
        <a:xfrm>
          <a:off x="8953500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1" name="Text Box 9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2" name="Text Box 15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3" name="Text Box 16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4" name="Text Box 21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5" name="Text Box 22"/>
        <xdr:cNvSpPr txBox="1">
          <a:spLocks noChangeArrowheads="1"/>
        </xdr:cNvSpPr>
      </xdr:nvSpPr>
      <xdr:spPr bwMode="auto">
        <a:xfrm>
          <a:off x="8953500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67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68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69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0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1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2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3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74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75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6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7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8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79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80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81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82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83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5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6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7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8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1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2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3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94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95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96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597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8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599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0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1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2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3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4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5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6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09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0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1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2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5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3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4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5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6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7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39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40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41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2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3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4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5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46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47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8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49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0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1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2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3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4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55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57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58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59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0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3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4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65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66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67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68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70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71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2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3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4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5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6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7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8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1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2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3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4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7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8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89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0" name="Text Box 1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2" name="Text Box 1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3" name="Text Box 2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94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695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6" name="Text Box 23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7" name="Text Box 24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8" name="Text Box 25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700" name="Text Box 27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701" name="Text Box 28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702" name="Text Box 29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28575</xdr:rowOff>
    </xdr:to>
    <xdr:sp macro="" textlink="">
      <xdr:nvSpPr>
        <xdr:cNvPr id="2703" name="Text Box 30"/>
        <xdr:cNvSpPr txBox="1">
          <a:spLocks noChangeArrowheads="1"/>
        </xdr:cNvSpPr>
      </xdr:nvSpPr>
      <xdr:spPr bwMode="auto">
        <a:xfrm>
          <a:off x="8953500" y="684847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5" name="Text Box 9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6" name="Text Box 15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7" name="Text Box 16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8" name="Text Box 21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19050</xdr:rowOff>
    </xdr:to>
    <xdr:sp macro="" textlink="">
      <xdr:nvSpPr>
        <xdr:cNvPr id="2709" name="Text Box 22"/>
        <xdr:cNvSpPr txBox="1">
          <a:spLocks noChangeArrowheads="1"/>
        </xdr:cNvSpPr>
      </xdr:nvSpPr>
      <xdr:spPr bwMode="auto">
        <a:xfrm>
          <a:off x="8953500" y="684847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1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2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3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4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5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6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7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8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9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1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2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3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4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5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6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7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29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0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1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2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5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3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4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5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6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9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0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1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2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3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4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5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6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7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8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9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0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2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3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4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5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7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8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9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0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1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3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4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5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6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7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8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9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90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91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2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3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4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5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6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7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8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9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1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2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3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4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7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8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9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0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1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2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3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14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15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6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7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8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9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0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1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2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5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6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7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8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9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1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2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3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4" name="Text Box 1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6" name="Text Box 1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7" name="Text Box 2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8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9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0" name="Text Box 23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1" name="Text Box 24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2" name="Text Box 25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4" name="Text Box 27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5" name="Text Box 28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6" name="Text Box 29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7" name="Text Box 30"/>
        <xdr:cNvSpPr txBox="1">
          <a:spLocks noChangeArrowheads="1"/>
        </xdr:cNvSpPr>
      </xdr:nvSpPr>
      <xdr:spPr bwMode="auto">
        <a:xfrm>
          <a:off x="8953500" y="704850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49" name="Text Box 9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0" name="Text Box 15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1" name="Text Box 16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2" name="Text Box 21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3" name="Text Box 22"/>
        <xdr:cNvSpPr txBox="1">
          <a:spLocks noChangeArrowheads="1"/>
        </xdr:cNvSpPr>
      </xdr:nvSpPr>
      <xdr:spPr bwMode="auto">
        <a:xfrm>
          <a:off x="8953500" y="70485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55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3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4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5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6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7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79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80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81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2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4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5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86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87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8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89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0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1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2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3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4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97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98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899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0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1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3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4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05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06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08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09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10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11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2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3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4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5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6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7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8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19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1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2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3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4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5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7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8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29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0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1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2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3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34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35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7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8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39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40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41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42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43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5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6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7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8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49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1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2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3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54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56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8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59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0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1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2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3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4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5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6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67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69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0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1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2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5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28575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95350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3" name="Text Box 9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4" name="Text Box 15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5" name="Text Box 16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6" name="Text Box 21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19050</xdr:rowOff>
    </xdr:to>
    <xdr:sp macro="" textlink="">
      <xdr:nvSpPr>
        <xdr:cNvPr id="2997" name="Text Box 22"/>
        <xdr:cNvSpPr txBox="1">
          <a:spLocks noChangeArrowheads="1"/>
        </xdr:cNvSpPr>
      </xdr:nvSpPr>
      <xdr:spPr bwMode="auto">
        <a:xfrm>
          <a:off x="8953500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2999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00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01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2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3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4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5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06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07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8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09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0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1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2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3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4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15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17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18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19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0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3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4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25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26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27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28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30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31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2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3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4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5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6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7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8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1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2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3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4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5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7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8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49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0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2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54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55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6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7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8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60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61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62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63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5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6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7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8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69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1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2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3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74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75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76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77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8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79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0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1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2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4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5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6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87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89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0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1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3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5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3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4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5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6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7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19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20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21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2" name="Text Box 1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4" name="Text Box 1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26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27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8" name="Text Box 23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29" name="Text Box 24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0" name="Text Box 25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2" name="Text Box 27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3" name="Text Box 28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4" name="Text Box 29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16668</xdr:rowOff>
    </xdr:to>
    <xdr:sp macro="" textlink="">
      <xdr:nvSpPr>
        <xdr:cNvPr id="3135" name="Text Box 30"/>
        <xdr:cNvSpPr txBox="1">
          <a:spLocks noChangeArrowheads="1"/>
        </xdr:cNvSpPr>
      </xdr:nvSpPr>
      <xdr:spPr bwMode="auto">
        <a:xfrm>
          <a:off x="8953500" y="7448550"/>
          <a:ext cx="7620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37" name="Text Box 9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38" name="Text Box 15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39" name="Text Box 16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40" name="Text Box 21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7143</xdr:rowOff>
    </xdr:to>
    <xdr:sp macro="" textlink="">
      <xdr:nvSpPr>
        <xdr:cNvPr id="3141" name="Text Box 22"/>
        <xdr:cNvSpPr txBox="1">
          <a:spLocks noChangeArrowheads="1"/>
        </xdr:cNvSpPr>
      </xdr:nvSpPr>
      <xdr:spPr bwMode="auto">
        <a:xfrm>
          <a:off x="8953500" y="7448550"/>
          <a:ext cx="762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3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4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5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6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7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8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9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50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51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2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3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4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6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7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8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1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2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3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4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7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8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9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0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2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74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75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6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7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8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9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0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1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2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3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5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6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7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8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1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2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3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4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5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6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7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8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9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0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1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2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4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5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6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7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09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0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1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2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3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5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3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4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5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6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9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0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1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2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4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5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6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7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8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9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0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1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2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3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4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7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8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9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0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1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3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4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5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6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8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9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70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71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2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4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6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7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8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9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1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2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3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4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5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7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8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9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0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1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2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95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6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7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8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9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0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1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2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3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5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6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7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8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1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2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3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4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5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6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7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8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9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0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1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2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3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4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5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6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29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0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1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2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3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5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3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4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5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6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7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9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0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1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2" name="Text Box 1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3" name="Text Box 1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4" name="Text Box 1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5" name="Text Box 2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6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7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8" name="Text Box 23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9" name="Text Box 24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0" name="Text Box 25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1" name="Text Box 26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2" name="Text Box 27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3" name="Text Box 28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4" name="Text Box 29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5" name="Text Box 30"/>
        <xdr:cNvSpPr txBox="1">
          <a:spLocks noChangeArrowheads="1"/>
        </xdr:cNvSpPr>
      </xdr:nvSpPr>
      <xdr:spPr bwMode="auto">
        <a:xfrm>
          <a:off x="8953500" y="765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7" name="Text Box 9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8" name="Text Box 15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9" name="Text Box 16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80" name="Text Box 21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81" name="Text Box 22"/>
        <xdr:cNvSpPr txBox="1">
          <a:spLocks noChangeArrowheads="1"/>
        </xdr:cNvSpPr>
      </xdr:nvSpPr>
      <xdr:spPr bwMode="auto">
        <a:xfrm>
          <a:off x="8953500" y="765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3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4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5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6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8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9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90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91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2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3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4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5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6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7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8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9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1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2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3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4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5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7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8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9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0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1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2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14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15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6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7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8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9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0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1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2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3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5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7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8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9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1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2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3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4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5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6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7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8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9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0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1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2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4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5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6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7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49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0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1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2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3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5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953500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3" name="Text Box 9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4" name="Text Box 15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5" name="Text Box 16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6" name="Text Box 21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7" name="Text Box 22"/>
        <xdr:cNvSpPr txBox="1">
          <a:spLocks noChangeArrowheads="1"/>
        </xdr:cNvSpPr>
      </xdr:nvSpPr>
      <xdr:spPr bwMode="auto">
        <a:xfrm>
          <a:off x="8953500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79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0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1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2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4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5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8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9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0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1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2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3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4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5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7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8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9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0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1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3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4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5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6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7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8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9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10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11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2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3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4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5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6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7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8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9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1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2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3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4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5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7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8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9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0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1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2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3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34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35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6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7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8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9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0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1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2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5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6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7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8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1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2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3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4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6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7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8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9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0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1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2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3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4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5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6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7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69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0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1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2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3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5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3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4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5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9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0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1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2" name="Text Box 1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3" name="Text Box 1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4" name="Text Box 1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5" name="Text Box 2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6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7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8" name="Text Box 23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9" name="Text Box 24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0" name="Text Box 25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1" name="Text Box 26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2" name="Text Box 27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3" name="Text Box 28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4" name="Text Box 29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5" name="Text Box 30"/>
        <xdr:cNvSpPr txBox="1">
          <a:spLocks noChangeArrowheads="1"/>
        </xdr:cNvSpPr>
      </xdr:nvSpPr>
      <xdr:spPr bwMode="auto">
        <a:xfrm>
          <a:off x="8953500" y="4248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7" name="Text Box 9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8" name="Text Box 15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9" name="Text Box 16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20" name="Text Box 21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89535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3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4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5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6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7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8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9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30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31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2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3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4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5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6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7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8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9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1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2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3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7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8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9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0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1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2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3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5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5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6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7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8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9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0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1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2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3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5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6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7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8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1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2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3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4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5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6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7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8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9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0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1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2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3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4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5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6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89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0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1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2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5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3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4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5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6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7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9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0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1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2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3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4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5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6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7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9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0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1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2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3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4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5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7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8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9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0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3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4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5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6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7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8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9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50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51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2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3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4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5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6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7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8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1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2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3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7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8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9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0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2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3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7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7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6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7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8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9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0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1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2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3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5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6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7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8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9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1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2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3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4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5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6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7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8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9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0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1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2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3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4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5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6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7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09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0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1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2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3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5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3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4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5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6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7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9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0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1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2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3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4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5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6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7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8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9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0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1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2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3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4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5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7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8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9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0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1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3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4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5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6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7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8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9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70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71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2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3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4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5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6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7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8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9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1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2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3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7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8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9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0" name="Text Box 1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1" name="Text Box 1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2" name="Text Box 1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3" name="Text Box 2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94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95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6" name="Text Box 23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7" name="Text Box 24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8" name="Text Box 25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9" name="Text Box 26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0" name="Text Box 27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1" name="Text Box 28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2" name="Text Box 29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8965406" y="44767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5" name="Text Box 9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6" name="Text Box 15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7" name="Text Box 16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8" name="Text Box 21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8965406" y="44767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47529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47529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12" name="Text Box 21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13" name="Text Box 2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7529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18</xdr:row>
      <xdr:rowOff>0</xdr:rowOff>
    </xdr:from>
    <xdr:to>
      <xdr:col>2</xdr:col>
      <xdr:colOff>409575</xdr:colOff>
      <xdr:row>18</xdr:row>
      <xdr:rowOff>171450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47529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29" name="Text Box 16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0" name="Text Box 21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1" name="Text Box 2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825817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37" name="Text Box 32"/>
        <xdr:cNvSpPr txBox="1">
          <a:spLocks noChangeArrowheads="1"/>
        </xdr:cNvSpPr>
      </xdr:nvSpPr>
      <xdr:spPr bwMode="auto">
        <a:xfrm>
          <a:off x="825817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8" name="Text Box 23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49" name="Text Box 24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0" name="Text Box 25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1" name="Text Box 26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3" name="Text Box 28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4" name="Text Box 29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180975</xdr:rowOff>
    </xdr:to>
    <xdr:sp macro="" textlink="">
      <xdr:nvSpPr>
        <xdr:cNvPr id="55" name="Text Box 30"/>
        <xdr:cNvSpPr txBox="1">
          <a:spLocks noChangeArrowheads="1"/>
        </xdr:cNvSpPr>
      </xdr:nvSpPr>
      <xdr:spPr bwMode="auto">
        <a:xfrm>
          <a:off x="8258175" y="324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57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171450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8258175" y="324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5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180975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8258175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825817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19</xdr:row>
      <xdr:rowOff>161925</xdr:rowOff>
    </xdr:to>
    <xdr:sp macro="" textlink="">
      <xdr:nvSpPr>
        <xdr:cNvPr id="69" name="Text Box 32"/>
        <xdr:cNvSpPr txBox="1">
          <a:spLocks noChangeArrowheads="1"/>
        </xdr:cNvSpPr>
      </xdr:nvSpPr>
      <xdr:spPr bwMode="auto">
        <a:xfrm>
          <a:off x="825817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3" name="Text Box 16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8" name="Text Box 21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2" name="Text Box 25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3" name="Text Box 26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4" name="Text Box 27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5" name="Text Box 28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2" name="Text Box 21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3" name="Text Box 2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8258175" y="285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6" name="Text Box 21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76200</xdr:colOff>
      <xdr:row>17</xdr:row>
      <xdr:rowOff>19050</xdr:rowOff>
    </xdr:to>
    <xdr:sp macro="" textlink="">
      <xdr:nvSpPr>
        <xdr:cNvPr id="117" name="Text Box 22"/>
        <xdr:cNvSpPr txBox="1">
          <a:spLocks noChangeArrowheads="1"/>
        </xdr:cNvSpPr>
      </xdr:nvSpPr>
      <xdr:spPr bwMode="auto">
        <a:xfrm>
          <a:off x="8258175" y="285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1" name="Text Box 16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4" name="Text Box 19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6" name="Text Box 21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27" name="Text Box 2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8" name="Text Box 23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29" name="Text Box 24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1" name="Text Box 26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3" name="Text Box 28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4" name="Text Box 29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35" name="Text Box 30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39" name="Text Box 16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1" name="Text Box 2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51" name="Text Box 2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2" name="Text Box 23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3" name="Text Box 24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4" name="Text Box 25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5" name="Text Box 26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6" name="Text Box 27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7" name="Text Box 28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8" name="Text Box 29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190500</xdr:rowOff>
    </xdr:to>
    <xdr:sp macro="" textlink="">
      <xdr:nvSpPr>
        <xdr:cNvPr id="159" name="Text Box 30"/>
        <xdr:cNvSpPr txBox="1">
          <a:spLocks noChangeArrowheads="1"/>
        </xdr:cNvSpPr>
      </xdr:nvSpPr>
      <xdr:spPr bwMode="auto">
        <a:xfrm>
          <a:off x="8258175" y="4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180975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8258175" y="4648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1" name="Text Box 18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2" name="Text Box 19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3" name="Text Box 20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74" name="Text Box 21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75" name="Text Box 2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6" name="Text Box 23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7" name="Text Box 24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8" name="Text Box 25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79" name="Text Box 26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80" name="Text Box 27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81" name="Text Box 28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82" name="Text Box 29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83" name="Text Box 30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8" name="Text Box 21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89" name="Text Box 2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28576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8258175" y="304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11" name="Text Box 16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12" name="Text Box 21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18</xdr:row>
      <xdr:rowOff>19051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8258175" y="3048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6" name="Text Box 21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7" name="Text Box 2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1" name="Text Box 16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6" name="Text Box 21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47" name="Text Box 2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8" name="Text Box 23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49" name="Text Box 24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0" name="Text Box 25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1" name="Text Box 26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2" name="Text Box 27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3" name="Text Box 28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4" name="Text Box 29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28575</xdr:rowOff>
    </xdr:to>
    <xdr:sp macro="" textlink="">
      <xdr:nvSpPr>
        <xdr:cNvPr id="255" name="Text Box 30"/>
        <xdr:cNvSpPr txBox="1">
          <a:spLocks noChangeArrowheads="1"/>
        </xdr:cNvSpPr>
      </xdr:nvSpPr>
      <xdr:spPr bwMode="auto">
        <a:xfrm>
          <a:off x="8258175" y="3248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59" name="Text Box 16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19</xdr:row>
      <xdr:rowOff>19050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8258175" y="3248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65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67" name="Text Box 1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70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71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3" name="Text Box 24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4" name="Text Box 25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6" name="Text Box 2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7" name="Text Box 2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8" name="Text Box 2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79" name="Text Box 3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3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4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5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89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1" name="Text Box 1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3" name="Text Box 2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94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295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6" name="Text Box 23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7" name="Text Box 24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8" name="Text Box 25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299" name="Text Box 26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00" name="Text Box 2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01" name="Text Box 2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02" name="Text Box 2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03" name="Text Box 3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8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09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3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19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0" name="Text Box 23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1" name="Text Box 24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2" name="Text Box 25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3" name="Text Box 26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4" name="Text Box 2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5" name="Text Box 2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6" name="Text Box 2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27" name="Text Box 3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3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28574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8258175" y="3448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76200</xdr:colOff>
      <xdr:row>20</xdr:row>
      <xdr:rowOff>19049</xdr:rowOff>
    </xdr:to>
    <xdr:sp macro="" textlink="">
      <xdr:nvSpPr>
        <xdr:cNvPr id="357" name="Text Box 22"/>
        <xdr:cNvSpPr txBox="1">
          <a:spLocks noChangeArrowheads="1"/>
        </xdr:cNvSpPr>
      </xdr:nvSpPr>
      <xdr:spPr bwMode="auto">
        <a:xfrm>
          <a:off x="825817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1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6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67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8" name="Text Box 23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69" name="Text Box 24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0" name="Text Box 25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1" name="Text Box 26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2" name="Text Box 2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3" name="Text Box 2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4" name="Text Box 2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75" name="Text Box 3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79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6" name="Text Box 1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7" name="Text Box 1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90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391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2" name="Text Box 23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3" name="Text Box 24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4" name="Text Box 25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5" name="Text Box 26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6" name="Text Box 2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7" name="Text Box 2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8" name="Text Box 2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399" name="Text Box 3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3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4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5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09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15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6" name="Text Box 23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7" name="Text Box 24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8" name="Text Box 25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0" name="Text Box 2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1" name="Text Box 2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2" name="Text Box 2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23" name="Text Box 3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7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8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29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3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5" name="Text Box 1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39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0" name="Text Box 23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1" name="Text Box 24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2" name="Text Box 25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3" name="Text Box 26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4" name="Text Box 27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5" name="Text Box 28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6" name="Text Box 29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28575</xdr:rowOff>
    </xdr:to>
    <xdr:sp macro="" textlink="">
      <xdr:nvSpPr>
        <xdr:cNvPr id="447" name="Text Box 30"/>
        <xdr:cNvSpPr txBox="1">
          <a:spLocks noChangeArrowheads="1"/>
        </xdr:cNvSpPr>
      </xdr:nvSpPr>
      <xdr:spPr bwMode="auto">
        <a:xfrm>
          <a:off x="8258175" y="3648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2" name="Text Box 21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76200</xdr:colOff>
      <xdr:row>21</xdr:row>
      <xdr:rowOff>19050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8258175" y="3648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6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7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81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2" name="Text Box 1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3" name="Text Box 1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86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87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89" name="Text Box 24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0" name="Text Box 25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1" name="Text Box 26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2" name="Text Box 2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3" name="Text Box 2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4" name="Text Box 2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495" name="Text Box 3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0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1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11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2" name="Text Box 23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3" name="Text Box 24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4" name="Text Box 25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5" name="Text Box 26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6" name="Text Box 2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7" name="Text Box 2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8" name="Text Box 2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19" name="Text Box 3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4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5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29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34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35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6" name="Text Box 23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7" name="Text Box 24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8" name="Text Box 25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39" name="Text Box 26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40" name="Text Box 27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41" name="Text Box 28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42" name="Text Box 29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28576</xdr:rowOff>
    </xdr:to>
    <xdr:sp macro="" textlink="">
      <xdr:nvSpPr>
        <xdr:cNvPr id="543" name="Text Box 30"/>
        <xdr:cNvSpPr txBox="1">
          <a:spLocks noChangeArrowheads="1"/>
        </xdr:cNvSpPr>
      </xdr:nvSpPr>
      <xdr:spPr bwMode="auto">
        <a:xfrm>
          <a:off x="8258175" y="3848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7" name="Text Box 16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8" name="Text Box 21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76200</xdr:colOff>
      <xdr:row>22</xdr:row>
      <xdr:rowOff>19051</xdr:rowOff>
    </xdr:to>
    <xdr:sp macro="" textlink="">
      <xdr:nvSpPr>
        <xdr:cNvPr id="549" name="Text Box 22"/>
        <xdr:cNvSpPr txBox="1">
          <a:spLocks noChangeArrowheads="1"/>
        </xdr:cNvSpPr>
      </xdr:nvSpPr>
      <xdr:spPr bwMode="auto">
        <a:xfrm>
          <a:off x="8258175" y="3848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3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4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5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57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8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59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0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1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2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3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4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5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6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67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2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3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6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1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2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3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4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6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07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8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09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1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2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3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4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15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19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0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1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31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2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3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4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6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7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8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39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4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5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49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54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55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6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7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8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59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0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1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2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63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8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69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8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79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0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1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2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3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4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5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6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687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1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2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693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1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2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8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29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0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1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2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3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4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35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0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7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49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50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51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2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3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4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5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6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7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8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59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4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5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69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0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1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3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74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75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6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7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8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79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0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1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2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83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3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4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5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797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8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799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0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1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2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3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4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5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6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07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1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2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5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83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41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2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3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5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46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47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8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49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0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1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2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3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4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55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59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0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1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65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70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71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2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3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4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5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6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7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8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79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4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94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895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6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7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8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899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00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01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02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03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7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8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09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3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15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17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8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19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0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1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2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3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4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5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6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27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1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2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3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6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7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61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2" name="Text Box 1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3" name="Text Box 1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66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67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8" name="Text Box 23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69" name="Text Box 24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0" name="Text Box 25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1" name="Text Box 26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2" name="Text Box 27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3" name="Text Box 28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4" name="Text Box 29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28576</xdr:rowOff>
    </xdr:to>
    <xdr:sp macro="" textlink="">
      <xdr:nvSpPr>
        <xdr:cNvPr id="975" name="Text Box 30"/>
        <xdr:cNvSpPr txBox="1">
          <a:spLocks noChangeArrowheads="1"/>
        </xdr:cNvSpPr>
      </xdr:nvSpPr>
      <xdr:spPr bwMode="auto">
        <a:xfrm>
          <a:off x="8258175" y="4648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79" name="Text Box 16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80" name="Text Box 21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19051</xdr:rowOff>
    </xdr:to>
    <xdr:sp macro="" textlink="">
      <xdr:nvSpPr>
        <xdr:cNvPr id="981" name="Text Box 22"/>
        <xdr:cNvSpPr txBox="1">
          <a:spLocks noChangeArrowheads="1"/>
        </xdr:cNvSpPr>
      </xdr:nvSpPr>
      <xdr:spPr bwMode="auto">
        <a:xfrm>
          <a:off x="8258175" y="4648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85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991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2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3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4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6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7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8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999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3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4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5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0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1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14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15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6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7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8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19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0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1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2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23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8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3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4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5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8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0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1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2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3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4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5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6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47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2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3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5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6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7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1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6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87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8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89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0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1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2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3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4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095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099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0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05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10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11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2" name="Text Box 23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3" name="Text Box 24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4" name="Text Box 25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5" name="Text Box 26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6" name="Text Box 27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8" name="Text Box 29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28575</xdr:rowOff>
    </xdr:to>
    <xdr:sp macro="" textlink="">
      <xdr:nvSpPr>
        <xdr:cNvPr id="1119" name="Text Box 30"/>
        <xdr:cNvSpPr txBox="1">
          <a:spLocks noChangeArrowheads="1"/>
        </xdr:cNvSpPr>
      </xdr:nvSpPr>
      <xdr:spPr bwMode="auto">
        <a:xfrm>
          <a:off x="8258175" y="4848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3" name="Text Box 16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4" name="Text Box 21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27</xdr:row>
      <xdr:rowOff>19050</xdr:rowOff>
    </xdr:to>
    <xdr:sp macro="" textlink="">
      <xdr:nvSpPr>
        <xdr:cNvPr id="1125" name="Text Box 22"/>
        <xdr:cNvSpPr txBox="1">
          <a:spLocks noChangeArrowheads="1"/>
        </xdr:cNvSpPr>
      </xdr:nvSpPr>
      <xdr:spPr bwMode="auto">
        <a:xfrm>
          <a:off x="8258175" y="4848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34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35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7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8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40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41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42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43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7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8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49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3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54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55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56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57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0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1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2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3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4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5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6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67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2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3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5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00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2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3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4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5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06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07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8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09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0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2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3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4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15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0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1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4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25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26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27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28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29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30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31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2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3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4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5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6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7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8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39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2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3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4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8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49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0" name="Text Box 1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1" name="Text Box 1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2" name="Text Box 1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54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55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6" name="Text Box 23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7" name="Text Box 24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8" name="Text Box 25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59" name="Text Box 26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60" name="Text Box 27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61" name="Text Box 28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62" name="Text Box 29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28574</xdr:rowOff>
    </xdr:to>
    <xdr:sp macro="" textlink="">
      <xdr:nvSpPr>
        <xdr:cNvPr id="1263" name="Text Box 30"/>
        <xdr:cNvSpPr txBox="1">
          <a:spLocks noChangeArrowheads="1"/>
        </xdr:cNvSpPr>
      </xdr:nvSpPr>
      <xdr:spPr bwMode="auto">
        <a:xfrm>
          <a:off x="8258175" y="504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6" name="Text Box 15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7" name="Text Box 16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8" name="Text Box 21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28</xdr:row>
      <xdr:rowOff>19049</xdr:rowOff>
    </xdr:to>
    <xdr:sp macro="" textlink="">
      <xdr:nvSpPr>
        <xdr:cNvPr id="1269" name="Text Box 22"/>
        <xdr:cNvSpPr txBox="1">
          <a:spLocks noChangeArrowheads="1"/>
        </xdr:cNvSpPr>
      </xdr:nvSpPr>
      <xdr:spPr bwMode="auto">
        <a:xfrm>
          <a:off x="8258175" y="50482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2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3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4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5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6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77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8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79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1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2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4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5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6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87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0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1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2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3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5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5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6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0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1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6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27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8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29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0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1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2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3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4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35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7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8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39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0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1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3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2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4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6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7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8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59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2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3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4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5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8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69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0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2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3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74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75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6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7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8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79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0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1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2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83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7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8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2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3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6" name="Text Box 1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8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399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0" name="Text Box 23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1" name="Text Box 24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2" name="Text Box 25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3" name="Text Box 26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4" name="Text Box 27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5" name="Text Box 28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6" name="Text Box 29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28575</xdr:rowOff>
    </xdr:to>
    <xdr:sp macro="" textlink="">
      <xdr:nvSpPr>
        <xdr:cNvPr id="1407" name="Text Box 30"/>
        <xdr:cNvSpPr txBox="1">
          <a:spLocks noChangeArrowheads="1"/>
        </xdr:cNvSpPr>
      </xdr:nvSpPr>
      <xdr:spPr bwMode="auto">
        <a:xfrm>
          <a:off x="8258175" y="5248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09" name="Text Box 9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0" name="Text Box 15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1" name="Text Box 16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2" name="Text Box 21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29</xdr:row>
      <xdr:rowOff>19050</xdr:rowOff>
    </xdr:to>
    <xdr:sp macro="" textlink="">
      <xdr:nvSpPr>
        <xdr:cNvPr id="1413" name="Text Box 22"/>
        <xdr:cNvSpPr txBox="1">
          <a:spLocks noChangeArrowheads="1"/>
        </xdr:cNvSpPr>
      </xdr:nvSpPr>
      <xdr:spPr bwMode="auto">
        <a:xfrm>
          <a:off x="8258175" y="5248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15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3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5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6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39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40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41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46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47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8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49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0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1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2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3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4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55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57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59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0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3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4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65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66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68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70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71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2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3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4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5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6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7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8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79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1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2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3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4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5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8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89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0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2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3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94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495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7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8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00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01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02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03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6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7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8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09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1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2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3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8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19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0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1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2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3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4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5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6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27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0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1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2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3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28576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8258175" y="5448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4" name="Text Box 15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5" name="Text Box 16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6" name="Text Box 21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30</xdr:row>
      <xdr:rowOff>19051</xdr:rowOff>
    </xdr:to>
    <xdr:sp macro="" textlink="">
      <xdr:nvSpPr>
        <xdr:cNvPr id="1557" name="Text Box 22"/>
        <xdr:cNvSpPr txBox="1">
          <a:spLocks noChangeArrowheads="1"/>
        </xdr:cNvSpPr>
      </xdr:nvSpPr>
      <xdr:spPr bwMode="auto">
        <a:xfrm>
          <a:off x="8258175" y="5448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59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0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1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6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67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8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69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0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2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3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4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75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8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79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0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4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85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6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8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89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90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591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2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3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4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5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6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7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8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599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2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3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4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5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8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09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6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7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8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19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0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1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2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23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6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7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8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2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3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4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6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37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8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39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0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1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2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4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5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6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47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0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1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2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4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5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6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0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1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6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87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8" name="Text Box 23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89" name="Text Box 24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0" name="Text Box 25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1" name="Text Box 26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2" name="Text Box 27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3" name="Text Box 28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4" name="Text Box 29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28575</xdr:rowOff>
    </xdr:to>
    <xdr:sp macro="" textlink="">
      <xdr:nvSpPr>
        <xdr:cNvPr id="1695" name="Text Box 30"/>
        <xdr:cNvSpPr txBox="1">
          <a:spLocks noChangeArrowheads="1"/>
        </xdr:cNvSpPr>
      </xdr:nvSpPr>
      <xdr:spPr bwMode="auto">
        <a:xfrm>
          <a:off x="8258175" y="5648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8" name="Text Box 15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699" name="Text Box 16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700" name="Text Box 21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</xdr:colOff>
      <xdr:row>31</xdr:row>
      <xdr:rowOff>19050</xdr:rowOff>
    </xdr:to>
    <xdr:sp macro="" textlink="">
      <xdr:nvSpPr>
        <xdr:cNvPr id="1701" name="Text Box 22"/>
        <xdr:cNvSpPr txBox="1">
          <a:spLocks noChangeArrowheads="1"/>
        </xdr:cNvSpPr>
      </xdr:nvSpPr>
      <xdr:spPr bwMode="auto">
        <a:xfrm>
          <a:off x="8258175" y="5648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31</xdr:row>
      <xdr:rowOff>0</xdr:rowOff>
    </xdr:from>
    <xdr:to>
      <xdr:col>8</xdr:col>
      <xdr:colOff>114300</xdr:colOff>
      <xdr:row>32</xdr:row>
      <xdr:rowOff>19049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2962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04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05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06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09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10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11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3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4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6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7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8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19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2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3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4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8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29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34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35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6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7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8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39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40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41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42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43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6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7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8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2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3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54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56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8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59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0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1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2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3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4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5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6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67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0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1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2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3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5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3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4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5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6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799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00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01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2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3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4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5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06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07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8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09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0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1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2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3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4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15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17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18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19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0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3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25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26" name="Text Box 1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27" name="Text Box 1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28" name="Text Box 1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29" name="Text Box 2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30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31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2" name="Text Box 23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3" name="Text Box 24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4" name="Text Box 25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5" name="Text Box 26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6" name="Text Box 27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7" name="Text Box 28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8" name="Text Box 29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28574</xdr:rowOff>
    </xdr:to>
    <xdr:sp macro="" textlink="">
      <xdr:nvSpPr>
        <xdr:cNvPr id="1839" name="Text Box 30"/>
        <xdr:cNvSpPr txBox="1">
          <a:spLocks noChangeArrowheads="1"/>
        </xdr:cNvSpPr>
      </xdr:nvSpPr>
      <xdr:spPr bwMode="auto">
        <a:xfrm>
          <a:off x="8258175" y="5848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1" name="Text Box 9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3" name="Text Box 16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4" name="Text Box 21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32</xdr:row>
      <xdr:rowOff>19049</xdr:rowOff>
    </xdr:to>
    <xdr:sp macro="" textlink="">
      <xdr:nvSpPr>
        <xdr:cNvPr id="1845" name="Text Box 22"/>
        <xdr:cNvSpPr txBox="1">
          <a:spLocks noChangeArrowheads="1"/>
        </xdr:cNvSpPr>
      </xdr:nvSpPr>
      <xdr:spPr bwMode="auto">
        <a:xfrm>
          <a:off x="8258175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7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8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49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0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2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3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54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55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6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7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8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59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0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1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2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63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5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7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8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1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2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3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4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5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6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77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8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79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0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1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2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3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4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5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6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87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89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0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1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2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5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3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4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5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6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7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19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0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1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2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3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4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5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6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27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8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29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0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1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2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3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4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35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7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8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39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0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3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4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45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6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7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8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49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50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51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2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3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4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5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6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7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8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59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2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3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4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5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8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69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0" name="Text Box 1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1" name="Text Box 1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2" name="Text Box 1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3" name="Text Box 2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74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75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6" name="Text Box 23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7" name="Text Box 24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8" name="Text Box 25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79" name="Text Box 26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0" name="Text Box 27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1" name="Text Box 28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2" name="Text Box 29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28575</xdr:rowOff>
    </xdr:to>
    <xdr:sp macro="" textlink="">
      <xdr:nvSpPr>
        <xdr:cNvPr id="1983" name="Text Box 30"/>
        <xdr:cNvSpPr txBox="1">
          <a:spLocks noChangeArrowheads="1"/>
        </xdr:cNvSpPr>
      </xdr:nvSpPr>
      <xdr:spPr bwMode="auto">
        <a:xfrm>
          <a:off x="8258175" y="6048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6" name="Text Box 15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7" name="Text Box 16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8" name="Text Box 21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19050</xdr:rowOff>
    </xdr:to>
    <xdr:sp macro="" textlink="">
      <xdr:nvSpPr>
        <xdr:cNvPr id="1989" name="Text Box 22"/>
        <xdr:cNvSpPr txBox="1">
          <a:spLocks noChangeArrowheads="1"/>
        </xdr:cNvSpPr>
      </xdr:nvSpPr>
      <xdr:spPr bwMode="auto">
        <a:xfrm>
          <a:off x="8258175" y="6048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1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2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3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1994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1995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1996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1997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8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1999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0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1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2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3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4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5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6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07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0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1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2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3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4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5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6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39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40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41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2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3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4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5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46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47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8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49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0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1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2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3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4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55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58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59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0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1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3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4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65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66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67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68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69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70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71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2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3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4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5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6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7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8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79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2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3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4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7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8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89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0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1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2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3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94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095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6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7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8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099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00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01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02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03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6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7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8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2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3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14" name="Text Box 1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15" name="Text Box 1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16" name="Text Box 1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8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19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0" name="Text Box 23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1" name="Text Box 24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2" name="Text Box 25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3" name="Text Box 26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4" name="Text Box 27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5" name="Text Box 28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6" name="Text Box 29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28576</xdr:rowOff>
    </xdr:to>
    <xdr:sp macro="" textlink="">
      <xdr:nvSpPr>
        <xdr:cNvPr id="2127" name="Text Box 30"/>
        <xdr:cNvSpPr txBox="1">
          <a:spLocks noChangeArrowheads="1"/>
        </xdr:cNvSpPr>
      </xdr:nvSpPr>
      <xdr:spPr bwMode="auto">
        <a:xfrm>
          <a:off x="8258175" y="624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29" name="Text Box 9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30" name="Text Box 15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31" name="Text Box 16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32" name="Text Box 21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76200</xdr:colOff>
      <xdr:row>34</xdr:row>
      <xdr:rowOff>19051</xdr:rowOff>
    </xdr:to>
    <xdr:sp macro="" textlink="">
      <xdr:nvSpPr>
        <xdr:cNvPr id="2133" name="Text Box 22"/>
        <xdr:cNvSpPr txBox="1">
          <a:spLocks noChangeArrowheads="1"/>
        </xdr:cNvSpPr>
      </xdr:nvSpPr>
      <xdr:spPr bwMode="auto">
        <a:xfrm>
          <a:off x="8258175" y="624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5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4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5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6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0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1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2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3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4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5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6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67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8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69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0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1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2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3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4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75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7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8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79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0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1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3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4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85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6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7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8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90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191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2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3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4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5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6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7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8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199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1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2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3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4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5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7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8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09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0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1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2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3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14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15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6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7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8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0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1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2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23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5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6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7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8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1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2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3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4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5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6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37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8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39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0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1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2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3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4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5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6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47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0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1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2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3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5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28575</xdr:rowOff>
    </xdr:to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8258175" y="644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3" name="Text Box 9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4" name="Text Box 15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5" name="Text Box 16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6" name="Text Box 21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19050</xdr:rowOff>
    </xdr:to>
    <xdr:sp macro="" textlink="">
      <xdr:nvSpPr>
        <xdr:cNvPr id="2277" name="Text Box 22"/>
        <xdr:cNvSpPr txBox="1">
          <a:spLocks noChangeArrowheads="1"/>
        </xdr:cNvSpPr>
      </xdr:nvSpPr>
      <xdr:spPr bwMode="auto">
        <a:xfrm>
          <a:off x="825817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79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80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81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2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3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4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5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86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87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8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89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0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2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3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4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295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97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98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299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0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4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05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06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07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08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09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10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11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2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3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4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5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6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7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8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19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1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2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3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4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8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29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0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1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2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3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34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35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6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7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8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39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40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41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42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43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5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6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7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8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49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1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2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3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54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55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56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57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8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59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0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1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2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3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4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5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6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67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0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1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2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5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3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4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5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6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7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399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00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01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2" name="Text Box 1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3" name="Text Box 1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4" name="Text Box 1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06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07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8" name="Text Box 23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09" name="Text Box 24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0" name="Text Box 25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1" name="Text Box 26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2" name="Text Box 27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3" name="Text Box 28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4" name="Text Box 29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28574</xdr:rowOff>
    </xdr:to>
    <xdr:sp macro="" textlink="">
      <xdr:nvSpPr>
        <xdr:cNvPr id="2415" name="Text Box 30"/>
        <xdr:cNvSpPr txBox="1">
          <a:spLocks noChangeArrowheads="1"/>
        </xdr:cNvSpPr>
      </xdr:nvSpPr>
      <xdr:spPr bwMode="auto">
        <a:xfrm>
          <a:off x="8258175" y="664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17" name="Text Box 9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18" name="Text Box 15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19" name="Text Box 16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20" name="Text Box 21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36</xdr:row>
      <xdr:rowOff>19049</xdr:rowOff>
    </xdr:to>
    <xdr:sp macro="" textlink="">
      <xdr:nvSpPr>
        <xdr:cNvPr id="2421" name="Text Box 22"/>
        <xdr:cNvSpPr txBox="1">
          <a:spLocks noChangeArrowheads="1"/>
        </xdr:cNvSpPr>
      </xdr:nvSpPr>
      <xdr:spPr bwMode="auto">
        <a:xfrm>
          <a:off x="8258175" y="664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3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4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25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6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7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8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29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30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31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2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3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4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5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6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7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8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39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1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2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3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4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7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8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49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0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1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2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3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54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55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6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7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8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59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0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1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2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63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5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7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8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69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2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3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4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5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6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8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79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0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1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2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3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4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5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6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87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89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0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1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2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3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5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3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4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5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6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19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0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1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2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3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4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5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6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27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8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29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0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1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2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3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4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35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8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39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0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3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4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45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6" name="Text Box 1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7" name="Text Box 1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8" name="Text Box 1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49" name="Text Box 2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50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51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2" name="Text Box 23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3" name="Text Box 24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4" name="Text Box 25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5" name="Text Box 26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6" name="Text Box 27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7" name="Text Box 28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8" name="Text Box 29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28575</xdr:rowOff>
    </xdr:to>
    <xdr:sp macro="" textlink="">
      <xdr:nvSpPr>
        <xdr:cNvPr id="2559" name="Text Box 30"/>
        <xdr:cNvSpPr txBox="1">
          <a:spLocks noChangeArrowheads="1"/>
        </xdr:cNvSpPr>
      </xdr:nvSpPr>
      <xdr:spPr bwMode="auto">
        <a:xfrm>
          <a:off x="8258175" y="6848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1" name="Text Box 9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2" name="Text Box 15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3" name="Text Box 16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4" name="Text Box 21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37</xdr:row>
      <xdr:rowOff>19050</xdr:rowOff>
    </xdr:to>
    <xdr:sp macro="" textlink="">
      <xdr:nvSpPr>
        <xdr:cNvPr id="2565" name="Text Box 22"/>
        <xdr:cNvSpPr txBox="1">
          <a:spLocks noChangeArrowheads="1"/>
        </xdr:cNvSpPr>
      </xdr:nvSpPr>
      <xdr:spPr bwMode="auto">
        <a:xfrm>
          <a:off x="8258175" y="6848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67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68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69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0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1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2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3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74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75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6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7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8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79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80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81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82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83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5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6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7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8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1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2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3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94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95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96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597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8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599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0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1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2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3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4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5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6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09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0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1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2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5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3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4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5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6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7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39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40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41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2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3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4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5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46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47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8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49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0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1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2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3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4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55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57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58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59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0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3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4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65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66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67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68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70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71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2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3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4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5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6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7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8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1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2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3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4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7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8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89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0" name="Text Box 1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2" name="Text Box 1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3" name="Text Box 2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94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695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6" name="Text Box 23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7" name="Text Box 24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8" name="Text Box 25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700" name="Text Box 27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701" name="Text Box 28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702" name="Text Box 29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28576</xdr:rowOff>
    </xdr:to>
    <xdr:sp macro="" textlink="">
      <xdr:nvSpPr>
        <xdr:cNvPr id="2703" name="Text Box 30"/>
        <xdr:cNvSpPr txBox="1">
          <a:spLocks noChangeArrowheads="1"/>
        </xdr:cNvSpPr>
      </xdr:nvSpPr>
      <xdr:spPr bwMode="auto">
        <a:xfrm>
          <a:off x="8258175" y="7048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5" name="Text Box 9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6" name="Text Box 15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7" name="Text Box 16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8" name="Text Box 21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38</xdr:row>
      <xdr:rowOff>19051</xdr:rowOff>
    </xdr:to>
    <xdr:sp macro="" textlink="">
      <xdr:nvSpPr>
        <xdr:cNvPr id="2709" name="Text Box 22"/>
        <xdr:cNvSpPr txBox="1">
          <a:spLocks noChangeArrowheads="1"/>
        </xdr:cNvSpPr>
      </xdr:nvSpPr>
      <xdr:spPr bwMode="auto">
        <a:xfrm>
          <a:off x="8258175" y="704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1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2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3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4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5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6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17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8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19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1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2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3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4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5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6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27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29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0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1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2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5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3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4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5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6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59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0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1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2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3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4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5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6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67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8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69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0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2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3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4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75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7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8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79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0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1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3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4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85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6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7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8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89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90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791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2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3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4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5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6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7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8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799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1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2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3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4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7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8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09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0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1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2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3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14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15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6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7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8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19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0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1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2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5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6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7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8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29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1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2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3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4" name="Text Box 1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6" name="Text Box 1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37" name="Text Box 2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8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39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0" name="Text Box 23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1" name="Text Box 24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2" name="Text Box 25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4" name="Text Box 27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5" name="Text Box 28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6" name="Text Box 29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28575</xdr:rowOff>
    </xdr:to>
    <xdr:sp macro="" textlink="">
      <xdr:nvSpPr>
        <xdr:cNvPr id="2847" name="Text Box 30"/>
        <xdr:cNvSpPr txBox="1">
          <a:spLocks noChangeArrowheads="1"/>
        </xdr:cNvSpPr>
      </xdr:nvSpPr>
      <xdr:spPr bwMode="auto">
        <a:xfrm>
          <a:off x="8258175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49" name="Text Box 9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0" name="Text Box 15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1" name="Text Box 16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2" name="Text Box 21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39</xdr:row>
      <xdr:rowOff>19050</xdr:rowOff>
    </xdr:to>
    <xdr:sp macro="" textlink="">
      <xdr:nvSpPr>
        <xdr:cNvPr id="2853" name="Text Box 22"/>
        <xdr:cNvSpPr txBox="1">
          <a:spLocks noChangeArrowheads="1"/>
        </xdr:cNvSpPr>
      </xdr:nvSpPr>
      <xdr:spPr bwMode="auto">
        <a:xfrm>
          <a:off x="8258175" y="7248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55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3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4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5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6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7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79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80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81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2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4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5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86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87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8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89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0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1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2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3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4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97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98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899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0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1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3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4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05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06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08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09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10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11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2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3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4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5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6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7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8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19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1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2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3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4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5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7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8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29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0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1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2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3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34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35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7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8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39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40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41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42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43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5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6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7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8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49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1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2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3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54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56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8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59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0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1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2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3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4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5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6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67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69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0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1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2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5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28574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258175" y="7448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3" name="Text Box 9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4" name="Text Box 15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5" name="Text Box 16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6" name="Text Box 21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19049</xdr:rowOff>
    </xdr:to>
    <xdr:sp macro="" textlink="">
      <xdr:nvSpPr>
        <xdr:cNvPr id="2997" name="Text Box 22"/>
        <xdr:cNvSpPr txBox="1">
          <a:spLocks noChangeArrowheads="1"/>
        </xdr:cNvSpPr>
      </xdr:nvSpPr>
      <xdr:spPr bwMode="auto">
        <a:xfrm>
          <a:off x="8258175" y="7448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2999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00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01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2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3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4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5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06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07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8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09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0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1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2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3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4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15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17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18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19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0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3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4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25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26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27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28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30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31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2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3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4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5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6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7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8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1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2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3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4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5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7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8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49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0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2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54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55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6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7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8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60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61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62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63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5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6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7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8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69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1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2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3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74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75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76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77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8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79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0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1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2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4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5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6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87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89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0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1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3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5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3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4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5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6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7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19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20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21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2" name="Text Box 1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4" name="Text Box 1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26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27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8" name="Text Box 23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29" name="Text Box 24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0" name="Text Box 25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2" name="Text Box 27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3" name="Text Box 28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4" name="Text Box 29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16669</xdr:rowOff>
    </xdr:to>
    <xdr:sp macro="" textlink="">
      <xdr:nvSpPr>
        <xdr:cNvPr id="3135" name="Text Box 30"/>
        <xdr:cNvSpPr txBox="1">
          <a:spLocks noChangeArrowheads="1"/>
        </xdr:cNvSpPr>
      </xdr:nvSpPr>
      <xdr:spPr bwMode="auto">
        <a:xfrm>
          <a:off x="8258175" y="7648575"/>
          <a:ext cx="76200" cy="22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37" name="Text Box 9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38" name="Text Box 15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39" name="Text Box 16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40" name="Text Box 21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76200</xdr:colOff>
      <xdr:row>41</xdr:row>
      <xdr:rowOff>7144</xdr:rowOff>
    </xdr:to>
    <xdr:sp macro="" textlink="">
      <xdr:nvSpPr>
        <xdr:cNvPr id="3141" name="Text Box 22"/>
        <xdr:cNvSpPr txBox="1">
          <a:spLocks noChangeArrowheads="1"/>
        </xdr:cNvSpPr>
      </xdr:nvSpPr>
      <xdr:spPr bwMode="auto">
        <a:xfrm>
          <a:off x="8258175" y="7648575"/>
          <a:ext cx="76200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3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4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45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6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7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8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49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50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51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2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3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4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6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7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8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1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2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3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4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7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8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69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0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2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74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75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6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7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8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79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0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1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2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83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5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6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7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8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1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2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3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4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5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6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197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8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199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0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1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2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4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5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6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07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09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0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1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2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3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5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3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4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5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6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39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0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1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2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4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5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6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47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8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49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0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1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2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3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4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7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8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59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0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1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3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4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65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6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8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69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70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71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2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4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6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7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8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79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1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2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3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4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5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7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8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89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0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1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2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295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6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7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8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299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0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1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2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03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5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6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7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8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1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2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3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4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5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6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17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8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19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0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1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2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3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4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5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6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29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0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1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2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3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5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3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4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5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6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7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59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0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1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2" name="Text Box 1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3" name="Text Box 1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4" name="Text Box 1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5" name="Text Box 2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6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67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8" name="Text Box 23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69" name="Text Box 24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0" name="Text Box 25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1" name="Text Box 26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2" name="Text Box 27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3" name="Text Box 28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4" name="Text Box 29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28576</xdr:rowOff>
    </xdr:to>
    <xdr:sp macro="" textlink="">
      <xdr:nvSpPr>
        <xdr:cNvPr id="3375" name="Text Box 30"/>
        <xdr:cNvSpPr txBox="1">
          <a:spLocks noChangeArrowheads="1"/>
        </xdr:cNvSpPr>
      </xdr:nvSpPr>
      <xdr:spPr bwMode="auto">
        <a:xfrm>
          <a:off x="8258175" y="78581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7" name="Text Box 9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8" name="Text Box 15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79" name="Text Box 16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80" name="Text Box 21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42</xdr:row>
      <xdr:rowOff>19051</xdr:rowOff>
    </xdr:to>
    <xdr:sp macro="" textlink="">
      <xdr:nvSpPr>
        <xdr:cNvPr id="3381" name="Text Box 22"/>
        <xdr:cNvSpPr txBox="1">
          <a:spLocks noChangeArrowheads="1"/>
        </xdr:cNvSpPr>
      </xdr:nvSpPr>
      <xdr:spPr bwMode="auto">
        <a:xfrm>
          <a:off x="8258175" y="78581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3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4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85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6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8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89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90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391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2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3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4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5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6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7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8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399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1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2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3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4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5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7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8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09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0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1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2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14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15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6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7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8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19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0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1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2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23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5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7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8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29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1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2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3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4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5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6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37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8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39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0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1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2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4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5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6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47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49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0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1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2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3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5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28575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258175" y="404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3" name="Text Box 9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4" name="Text Box 15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5" name="Text Box 16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6" name="Text Box 21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23</xdr:row>
      <xdr:rowOff>19050</xdr:rowOff>
    </xdr:to>
    <xdr:sp macro="" textlink="">
      <xdr:nvSpPr>
        <xdr:cNvPr id="3477" name="Text Box 22"/>
        <xdr:cNvSpPr txBox="1">
          <a:spLocks noChangeArrowheads="1"/>
        </xdr:cNvSpPr>
      </xdr:nvSpPr>
      <xdr:spPr bwMode="auto">
        <a:xfrm>
          <a:off x="8258175" y="4048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79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0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1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2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4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5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8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8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89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0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1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2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3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4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495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7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8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499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0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1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3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4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05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6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7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8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09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10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11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2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3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4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5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6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7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8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19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1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2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3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4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5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7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8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29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0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1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2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3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34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35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6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7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8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39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0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1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2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5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6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7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8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1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2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3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4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6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57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8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59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0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1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2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3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4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5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6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67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69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0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1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2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3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5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3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4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5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599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0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1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2" name="Text Box 1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3" name="Text Box 1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4" name="Text Box 1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5" name="Text Box 2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6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07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8" name="Text Box 23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09" name="Text Box 24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0" name="Text Box 25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1" name="Text Box 26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2" name="Text Box 27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3" name="Text Box 28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4" name="Text Box 29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28575</xdr:rowOff>
    </xdr:to>
    <xdr:sp macro="" textlink="">
      <xdr:nvSpPr>
        <xdr:cNvPr id="3615" name="Text Box 30"/>
        <xdr:cNvSpPr txBox="1">
          <a:spLocks noChangeArrowheads="1"/>
        </xdr:cNvSpPr>
      </xdr:nvSpPr>
      <xdr:spPr bwMode="auto">
        <a:xfrm>
          <a:off x="8258175" y="4448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7" name="Text Box 9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8" name="Text Box 15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19" name="Text Box 16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20" name="Text Box 21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25</xdr:row>
      <xdr:rowOff>19050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8258175" y="4448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3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4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25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6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7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8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29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30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31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2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3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4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5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6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7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8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39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1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2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3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7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8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49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0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1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2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3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5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5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6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7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8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59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0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1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2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63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5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6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7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8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1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2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3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4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5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6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77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8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79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0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1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2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3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4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5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6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89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0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1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2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5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3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4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5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6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7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19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0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1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2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3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4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5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6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27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29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0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1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2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3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4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35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7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8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39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0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3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4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45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6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7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8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49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50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51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2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3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4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5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6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7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8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1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2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3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7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8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69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0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2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3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7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7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6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7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8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79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0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1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2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83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5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6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7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8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89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1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2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3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4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5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6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797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8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799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0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1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2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3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4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5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6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07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09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0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1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2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3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5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3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4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5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6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7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39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0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1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2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3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4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5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6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47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8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49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0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1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2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3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4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55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7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8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59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0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1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3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4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65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6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7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8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69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70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71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2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3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4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5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6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7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8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79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1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2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3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7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8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89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0" name="Text Box 1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1" name="Text Box 1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2" name="Text Box 1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3" name="Text Box 2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94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895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6" name="Text Box 23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7" name="Text Box 24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8" name="Text Box 25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899" name="Text Box 26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0" name="Text Box 27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1" name="Text Box 28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2" name="Text Box 29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30981"/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8258175" y="42481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5" name="Text Box 9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6" name="Text Box 15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7" name="Text Box 16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8" name="Text Box 21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76200" cy="221456"/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8258175" y="42481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theme="0"/>
  </sheetPr>
  <dimension ref="A1:BL121"/>
  <sheetViews>
    <sheetView topLeftCell="A4" zoomScale="86" zoomScaleNormal="86" zoomScaleSheetLayoutView="100" workbookViewId="0">
      <pane xSplit="18" ySplit="20" topLeftCell="AS24" activePane="bottomRight" state="frozen"/>
      <selection activeCell="A4" sqref="A4"/>
      <selection pane="topRight" activeCell="S4" sqref="S4"/>
      <selection pane="bottomLeft" activeCell="A20" sqref="A20"/>
      <selection pane="bottomRight" activeCell="F47" sqref="F47"/>
    </sheetView>
  </sheetViews>
  <sheetFormatPr defaultColWidth="6.28515625" defaultRowHeight="12"/>
  <cols>
    <col min="1" max="1" width="6.28515625" style="493" customWidth="1"/>
    <col min="2" max="2" width="16.28515625" style="493" customWidth="1"/>
    <col min="3" max="11" width="6.28515625" style="493" customWidth="1"/>
    <col min="12" max="12" width="6.28515625" style="494" customWidth="1"/>
    <col min="13" max="13" width="6.28515625" style="493" customWidth="1"/>
    <col min="14" max="15" width="6.28515625" style="492" customWidth="1"/>
    <col min="16" max="18" width="6.28515625" style="493" customWidth="1"/>
    <col min="19" max="19" width="7.7109375" style="493" customWidth="1"/>
    <col min="20" max="20" width="7.140625" style="493" customWidth="1"/>
    <col min="21" max="21" width="7.28515625" style="493" customWidth="1"/>
    <col min="22" max="22" width="7.5703125" style="493" customWidth="1"/>
    <col min="23" max="24" width="6.28515625" style="555" customWidth="1"/>
    <col min="25" max="25" width="8.140625" style="555" customWidth="1"/>
    <col min="26" max="41" width="6.28515625" style="555" customWidth="1"/>
    <col min="42" max="42" width="7.7109375" style="555" customWidth="1"/>
    <col min="43" max="49" width="6.28515625" style="555" customWidth="1"/>
    <col min="50" max="50" width="6.28515625" style="80" customWidth="1"/>
    <col min="51" max="57" width="6.28515625" style="555" customWidth="1"/>
    <col min="58" max="59" width="6.28515625" style="646" customWidth="1"/>
    <col min="60" max="60" width="8.28515625" style="646" customWidth="1"/>
    <col min="61" max="61" width="8.42578125" style="646" customWidth="1"/>
    <col min="62" max="62" width="6.28515625" style="555" customWidth="1"/>
    <col min="63" max="16384" width="6.28515625" style="493"/>
  </cols>
  <sheetData>
    <row r="1" spans="1:62">
      <c r="AU1" s="1011" t="s">
        <v>305</v>
      </c>
      <c r="AV1" s="1012"/>
      <c r="AW1" s="1012"/>
      <c r="AX1" s="1012"/>
      <c r="AY1" s="1013"/>
      <c r="AZ1" s="88">
        <v>0</v>
      </c>
      <c r="BA1" s="88"/>
      <c r="BB1" s="88"/>
      <c r="BC1" s="556" t="s">
        <v>306</v>
      </c>
      <c r="BD1" s="556" t="s">
        <v>307</v>
      </c>
      <c r="BE1" s="556" t="s">
        <v>308</v>
      </c>
      <c r="BF1" s="87" t="s">
        <v>309</v>
      </c>
      <c r="BG1" s="82"/>
      <c r="BH1" s="555"/>
      <c r="BI1" s="555"/>
      <c r="BJ1" s="493"/>
    </row>
    <row r="2" spans="1:62">
      <c r="B2" s="557" t="s">
        <v>258</v>
      </c>
      <c r="G2" s="558" t="s">
        <v>310</v>
      </c>
      <c r="I2" s="558"/>
      <c r="J2" s="558"/>
      <c r="K2" s="558"/>
      <c r="L2" s="559"/>
      <c r="M2" s="558"/>
      <c r="N2" s="560"/>
      <c r="O2" s="560"/>
      <c r="P2" s="558"/>
      <c r="Q2" s="558"/>
      <c r="R2" s="558"/>
      <c r="S2" s="558"/>
      <c r="T2" s="558"/>
      <c r="U2" s="558"/>
      <c r="V2" s="558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U2" s="1011" t="s">
        <v>311</v>
      </c>
      <c r="AV2" s="1012"/>
      <c r="AW2" s="1012"/>
      <c r="AX2" s="1012"/>
      <c r="AY2" s="1013"/>
      <c r="AZ2" s="88">
        <v>1</v>
      </c>
      <c r="BA2" s="88"/>
      <c r="BB2" s="88"/>
      <c r="BC2" s="87">
        <v>4</v>
      </c>
      <c r="BD2" s="87">
        <v>5</v>
      </c>
      <c r="BE2" s="87">
        <v>2</v>
      </c>
      <c r="BF2" s="87">
        <f>SUM(AZ2:BE2)</f>
        <v>12</v>
      </c>
      <c r="BG2" s="82"/>
      <c r="BH2" s="555"/>
      <c r="BI2" s="555"/>
      <c r="BJ2" s="493"/>
    </row>
    <row r="3" spans="1:62">
      <c r="A3" s="561"/>
      <c r="B3" s="313"/>
      <c r="C3" s="561"/>
      <c r="G3" s="558"/>
      <c r="H3" s="558"/>
      <c r="I3" s="558"/>
      <c r="J3" s="558"/>
      <c r="K3" s="558"/>
      <c r="L3" s="559"/>
      <c r="M3" s="558"/>
      <c r="N3" s="560"/>
      <c r="O3" s="560"/>
      <c r="P3" s="558"/>
      <c r="Q3" s="558"/>
      <c r="R3" s="558"/>
      <c r="S3" s="558"/>
      <c r="T3" s="558"/>
      <c r="U3" s="558"/>
      <c r="V3" s="558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U3" s="1011" t="s">
        <v>312</v>
      </c>
      <c r="AV3" s="1012"/>
      <c r="AW3" s="1012"/>
      <c r="AX3" s="1012"/>
      <c r="AY3" s="1013"/>
      <c r="AZ3" s="88">
        <v>1</v>
      </c>
      <c r="BA3" s="88"/>
      <c r="BB3" s="88"/>
      <c r="BC3" s="87">
        <v>4</v>
      </c>
      <c r="BD3" s="87">
        <v>5</v>
      </c>
      <c r="BE3" s="87">
        <v>2</v>
      </c>
      <c r="BF3" s="87">
        <f>SUM(AZ3:BE3)</f>
        <v>12</v>
      </c>
      <c r="BG3" s="82"/>
      <c r="BH3" s="555"/>
      <c r="BI3" s="555"/>
      <c r="BJ3" s="493"/>
    </row>
    <row r="4" spans="1:62">
      <c r="A4" s="561"/>
      <c r="B4" s="313"/>
      <c r="C4" s="561"/>
      <c r="G4" s="558"/>
      <c r="H4" s="558"/>
      <c r="I4" s="558"/>
      <c r="J4" s="558"/>
      <c r="K4" s="558"/>
      <c r="L4" s="559"/>
      <c r="M4" s="558"/>
      <c r="N4" s="560"/>
      <c r="O4" s="560"/>
      <c r="P4" s="558"/>
      <c r="Q4" s="558"/>
      <c r="R4" s="558"/>
      <c r="S4" s="558"/>
      <c r="T4" s="558"/>
      <c r="U4" s="558"/>
      <c r="V4" s="558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U4" s="1048" t="s">
        <v>506</v>
      </c>
      <c r="AV4" s="1049"/>
      <c r="AW4" s="1049"/>
      <c r="AX4" s="1049"/>
      <c r="AY4" s="1050"/>
      <c r="AZ4" s="88">
        <v>0</v>
      </c>
      <c r="BA4" s="88"/>
      <c r="BB4" s="88"/>
      <c r="BC4" s="556" t="s">
        <v>306</v>
      </c>
      <c r="BD4" s="556" t="s">
        <v>507</v>
      </c>
      <c r="BE4" s="556" t="s">
        <v>508</v>
      </c>
      <c r="BF4" s="556" t="s">
        <v>309</v>
      </c>
      <c r="BG4" s="82"/>
      <c r="BH4" s="555"/>
      <c r="BI4" s="555"/>
      <c r="BJ4" s="493"/>
    </row>
    <row r="5" spans="1:62">
      <c r="A5" s="561"/>
      <c r="B5" s="313"/>
      <c r="C5" s="561"/>
      <c r="G5" s="558"/>
      <c r="H5" s="558"/>
      <c r="I5" s="558"/>
      <c r="J5" s="558"/>
      <c r="K5" s="558"/>
      <c r="L5" s="559"/>
      <c r="M5" s="558"/>
      <c r="N5" s="560"/>
      <c r="O5" s="560"/>
      <c r="P5" s="558"/>
      <c r="Q5" s="558"/>
      <c r="R5" s="558"/>
      <c r="S5" s="558"/>
      <c r="T5" s="558"/>
      <c r="U5" s="558"/>
      <c r="V5" s="558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U5" s="1048" t="s">
        <v>311</v>
      </c>
      <c r="AV5" s="1049"/>
      <c r="AW5" s="1049"/>
      <c r="AX5" s="1049"/>
      <c r="AY5" s="1050"/>
      <c r="AZ5" s="88">
        <v>1</v>
      </c>
      <c r="BA5" s="88"/>
      <c r="BB5" s="88"/>
      <c r="BC5" s="87">
        <v>4</v>
      </c>
      <c r="BD5" s="87">
        <v>5</v>
      </c>
      <c r="BE5" s="87">
        <v>2</v>
      </c>
      <c r="BF5" s="87">
        <v>12</v>
      </c>
      <c r="BG5" s="82"/>
      <c r="BH5" s="555"/>
      <c r="BI5" s="555"/>
      <c r="BJ5" s="493"/>
    </row>
    <row r="6" spans="1:62">
      <c r="A6" s="561"/>
      <c r="B6" s="557" t="s">
        <v>259</v>
      </c>
      <c r="C6" s="561"/>
      <c r="G6" s="558"/>
      <c r="H6" s="558"/>
      <c r="I6" s="558" t="s">
        <v>488</v>
      </c>
      <c r="J6" s="558"/>
      <c r="K6" s="558"/>
      <c r="L6" s="559"/>
      <c r="M6" s="558"/>
      <c r="N6" s="560"/>
      <c r="O6" s="560"/>
      <c r="P6" s="558"/>
      <c r="Q6" s="558"/>
      <c r="R6" s="558"/>
      <c r="S6" s="558"/>
      <c r="T6" s="558"/>
      <c r="U6" s="558"/>
      <c r="V6" s="558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U6" s="1011" t="s">
        <v>313</v>
      </c>
      <c r="AV6" s="1012"/>
      <c r="AW6" s="1012"/>
      <c r="AX6" s="1012"/>
      <c r="AY6" s="1013"/>
      <c r="AZ6" s="88">
        <v>13</v>
      </c>
      <c r="BA6" s="88"/>
      <c r="BB6" s="88"/>
      <c r="BC6" s="87">
        <v>77</v>
      </c>
      <c r="BD6" s="87">
        <v>84</v>
      </c>
      <c r="BE6" s="87">
        <v>12</v>
      </c>
      <c r="BF6" s="87">
        <f>SUM(AZ6:BE6)</f>
        <v>186</v>
      </c>
      <c r="BG6" s="82"/>
      <c r="BH6" s="555"/>
      <c r="BI6" s="555"/>
      <c r="BJ6" s="493"/>
    </row>
    <row r="7" spans="1:62">
      <c r="A7" s="561"/>
      <c r="B7" s="557"/>
      <c r="C7" s="561"/>
      <c r="G7" s="558"/>
      <c r="H7" s="558" t="s">
        <v>264</v>
      </c>
      <c r="I7" s="558"/>
      <c r="J7" s="558"/>
      <c r="K7" s="558"/>
      <c r="L7" s="559"/>
      <c r="M7" s="558"/>
      <c r="N7" s="560"/>
      <c r="O7" s="560"/>
      <c r="P7" s="558"/>
      <c r="Q7" s="558"/>
      <c r="R7" s="558"/>
      <c r="S7" s="558"/>
      <c r="T7" s="558"/>
      <c r="U7" s="558"/>
      <c r="V7" s="558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U7" s="1011" t="s">
        <v>314</v>
      </c>
      <c r="AV7" s="1012"/>
      <c r="AW7" s="1012"/>
      <c r="AX7" s="1012"/>
      <c r="AY7" s="1013"/>
      <c r="AZ7" s="88"/>
      <c r="BA7" s="88"/>
      <c r="BB7" s="88"/>
      <c r="BC7" s="87">
        <v>107</v>
      </c>
      <c r="BD7" s="87">
        <v>173</v>
      </c>
      <c r="BE7" s="87">
        <v>78</v>
      </c>
      <c r="BF7" s="90">
        <f>SUM(BC7:BE7)</f>
        <v>358</v>
      </c>
      <c r="BG7" s="562"/>
      <c r="BH7" s="555"/>
      <c r="BI7" s="555"/>
      <c r="BJ7" s="493"/>
    </row>
    <row r="8" spans="1:62">
      <c r="B8" s="563" t="s">
        <v>315</v>
      </c>
      <c r="G8" s="558"/>
      <c r="H8" s="558"/>
      <c r="I8" s="558"/>
      <c r="J8" s="558"/>
      <c r="K8" s="558"/>
      <c r="L8" s="559"/>
      <c r="M8" s="558"/>
      <c r="N8" s="560"/>
      <c r="O8" s="560"/>
      <c r="P8" s="558"/>
      <c r="Q8" s="558"/>
      <c r="R8" s="558"/>
      <c r="S8" s="558"/>
      <c r="T8" s="558"/>
      <c r="U8" s="558"/>
      <c r="V8" s="558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U8" s="1011" t="s">
        <v>316</v>
      </c>
      <c r="AV8" s="1012"/>
      <c r="AW8" s="1012"/>
      <c r="AX8" s="1012"/>
      <c r="AY8" s="1013"/>
      <c r="AZ8" s="88"/>
      <c r="BA8" s="88"/>
      <c r="BB8" s="88"/>
      <c r="BC8" s="87">
        <f>BC7+BC10+BC13</f>
        <v>110</v>
      </c>
      <c r="BD8" s="87">
        <f>BD7+BD9</f>
        <v>186.76</v>
      </c>
      <c r="BE8" s="87">
        <f>BE7+BE9</f>
        <v>78</v>
      </c>
      <c r="BF8" s="90">
        <f>SUM(BC8:BE8)</f>
        <v>374.76</v>
      </c>
      <c r="BG8" s="562"/>
      <c r="BH8" s="555"/>
      <c r="BI8" s="555"/>
      <c r="BJ8" s="493"/>
    </row>
    <row r="9" spans="1:62">
      <c r="B9" s="491" t="s">
        <v>511</v>
      </c>
      <c r="C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U9" s="1011" t="s">
        <v>317</v>
      </c>
      <c r="AV9" s="1012"/>
      <c r="AW9" s="1012"/>
      <c r="AX9" s="1012"/>
      <c r="AY9" s="1013"/>
      <c r="AZ9" s="88"/>
      <c r="BA9" s="88"/>
      <c r="BB9" s="88"/>
      <c r="BC9" s="87">
        <f>SUM(BC10:BC15)</f>
        <v>3</v>
      </c>
      <c r="BD9" s="87">
        <f>SUM(BD10:BD15)</f>
        <v>13.76</v>
      </c>
      <c r="BE9" s="87">
        <f>SUM(BE10:BE15)</f>
        <v>0</v>
      </c>
      <c r="BF9" s="87">
        <f>SUM(BF10:BF15)</f>
        <v>16.759999999999998</v>
      </c>
      <c r="BG9" s="82"/>
      <c r="BH9" s="555"/>
      <c r="BI9" s="555"/>
      <c r="BJ9" s="493"/>
    </row>
    <row r="10" spans="1:62"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U10" s="1011" t="s">
        <v>318</v>
      </c>
      <c r="AV10" s="1012"/>
      <c r="AW10" s="1012"/>
      <c r="AX10" s="1012"/>
      <c r="AY10" s="1013"/>
      <c r="AZ10" s="88"/>
      <c r="BA10" s="88"/>
      <c r="BB10" s="88"/>
      <c r="BC10" s="87">
        <v>1</v>
      </c>
      <c r="BD10" s="87">
        <v>2</v>
      </c>
      <c r="BE10" s="87"/>
      <c r="BF10" s="87">
        <f t="shared" ref="BF10:BF15" si="0">SUM(BC10:BE10)</f>
        <v>3</v>
      </c>
      <c r="BG10" s="82"/>
      <c r="BH10" s="555"/>
      <c r="BI10" s="555"/>
      <c r="BJ10" s="493"/>
    </row>
    <row r="11" spans="1:62"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U11" s="1011" t="s">
        <v>319</v>
      </c>
      <c r="AV11" s="1012"/>
      <c r="AW11" s="1012"/>
      <c r="AX11" s="1012"/>
      <c r="AY11" s="1013"/>
      <c r="AZ11" s="88"/>
      <c r="BA11" s="88"/>
      <c r="BB11" s="88"/>
      <c r="BC11" s="87"/>
      <c r="BD11" s="87">
        <v>5</v>
      </c>
      <c r="BE11" s="87"/>
      <c r="BF11" s="87">
        <f t="shared" si="0"/>
        <v>5</v>
      </c>
      <c r="BG11" s="82"/>
      <c r="BH11" s="555"/>
      <c r="BI11" s="555"/>
      <c r="BJ11" s="493"/>
    </row>
    <row r="12" spans="1:62"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U12" s="1011" t="s">
        <v>320</v>
      </c>
      <c r="AV12" s="1012"/>
      <c r="AW12" s="1012"/>
      <c r="AX12" s="1012"/>
      <c r="AY12" s="1013"/>
      <c r="AZ12" s="88"/>
      <c r="BA12" s="88"/>
      <c r="BB12" s="88"/>
      <c r="BC12" s="87"/>
      <c r="BD12" s="87">
        <v>0.76</v>
      </c>
      <c r="BE12" s="87"/>
      <c r="BF12" s="87">
        <f t="shared" si="0"/>
        <v>0.76</v>
      </c>
      <c r="BG12" s="82"/>
      <c r="BH12" s="555"/>
      <c r="BI12" s="555"/>
      <c r="BJ12" s="493"/>
    </row>
    <row r="13" spans="1:62"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U13" s="1011" t="s">
        <v>321</v>
      </c>
      <c r="AV13" s="1012"/>
      <c r="AW13" s="1012"/>
      <c r="AX13" s="1012"/>
      <c r="AY13" s="1013"/>
      <c r="AZ13" s="88"/>
      <c r="BA13" s="88"/>
      <c r="BB13" s="88"/>
      <c r="BC13" s="87">
        <v>2</v>
      </c>
      <c r="BD13" s="87">
        <v>3</v>
      </c>
      <c r="BE13" s="87"/>
      <c r="BF13" s="87">
        <f t="shared" si="0"/>
        <v>5</v>
      </c>
      <c r="BG13" s="82"/>
      <c r="BH13" s="555"/>
      <c r="BI13" s="555"/>
      <c r="BJ13" s="493"/>
    </row>
    <row r="14" spans="1:62"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U14" s="1011" t="s">
        <v>509</v>
      </c>
      <c r="AV14" s="1012"/>
      <c r="AW14" s="1012"/>
      <c r="AX14" s="1012"/>
      <c r="AY14" s="1013"/>
      <c r="AZ14" s="88"/>
      <c r="BA14" s="88"/>
      <c r="BB14" s="88"/>
      <c r="BC14" s="87"/>
      <c r="BD14" s="87">
        <v>1</v>
      </c>
      <c r="BE14" s="87"/>
      <c r="BF14" s="87">
        <f t="shared" si="0"/>
        <v>1</v>
      </c>
      <c r="BG14" s="82"/>
      <c r="BH14" s="555"/>
      <c r="BI14" s="555"/>
      <c r="BJ14" s="493"/>
    </row>
    <row r="15" spans="1:62">
      <c r="AU15" s="1011" t="s">
        <v>323</v>
      </c>
      <c r="AV15" s="1012"/>
      <c r="AW15" s="1012"/>
      <c r="AX15" s="1012"/>
      <c r="AY15" s="1013"/>
      <c r="AZ15" s="88"/>
      <c r="BA15" s="88"/>
      <c r="BB15" s="88"/>
      <c r="BC15" s="87"/>
      <c r="BD15" s="87">
        <v>2</v>
      </c>
      <c r="BE15" s="87"/>
      <c r="BF15" s="87">
        <f t="shared" si="0"/>
        <v>2</v>
      </c>
      <c r="BG15" s="82"/>
      <c r="BH15" s="555"/>
      <c r="BI15" s="555"/>
      <c r="BJ15" s="493"/>
    </row>
    <row r="16" spans="1:62">
      <c r="AU16" s="1011" t="s">
        <v>510</v>
      </c>
      <c r="AV16" s="1012"/>
      <c r="AW16" s="1012"/>
      <c r="AX16" s="1012"/>
      <c r="AY16" s="1013"/>
      <c r="AZ16" s="564"/>
      <c r="BA16" s="564"/>
      <c r="BB16" s="564"/>
      <c r="BC16" s="86"/>
      <c r="BD16" s="86"/>
      <c r="BE16" s="86"/>
      <c r="BF16" s="87"/>
      <c r="BG16" s="82"/>
      <c r="BH16" s="555"/>
      <c r="BI16" s="555"/>
      <c r="BJ16" s="493"/>
    </row>
    <row r="17" spans="1:64">
      <c r="AU17" s="565"/>
      <c r="AV17" s="566"/>
      <c r="AW17" s="566"/>
      <c r="AX17" s="566"/>
      <c r="AY17" s="566"/>
      <c r="AZ17" s="564"/>
      <c r="BA17" s="564"/>
      <c r="BB17" s="564"/>
      <c r="BC17" s="86"/>
      <c r="BD17" s="86"/>
      <c r="BE17" s="86"/>
      <c r="BF17" s="87"/>
      <c r="BG17" s="82"/>
      <c r="BH17" s="555"/>
      <c r="BI17" s="555"/>
      <c r="BJ17" s="493"/>
    </row>
    <row r="18" spans="1:64">
      <c r="A18" s="500" t="s">
        <v>265</v>
      </c>
      <c r="B18" s="500" t="s">
        <v>266</v>
      </c>
      <c r="C18" s="567" t="s">
        <v>324</v>
      </c>
      <c r="D18" s="1014" t="s">
        <v>267</v>
      </c>
      <c r="E18" s="1014" t="s">
        <v>268</v>
      </c>
      <c r="F18" s="500"/>
      <c r="G18" s="1014" t="s">
        <v>329</v>
      </c>
      <c r="H18" s="502" t="s">
        <v>269</v>
      </c>
      <c r="I18" s="500" t="s">
        <v>270</v>
      </c>
      <c r="J18" s="1014" t="s">
        <v>330</v>
      </c>
      <c r="K18" s="500"/>
      <c r="L18" s="568"/>
      <c r="M18" s="500" t="s">
        <v>271</v>
      </c>
      <c r="N18" s="567" t="s">
        <v>272</v>
      </c>
      <c r="O18" s="567" t="s">
        <v>272</v>
      </c>
      <c r="P18" s="1019" t="s">
        <v>331</v>
      </c>
      <c r="Q18" s="1020"/>
      <c r="R18" s="1021"/>
      <c r="S18" s="523" t="s">
        <v>332</v>
      </c>
      <c r="T18" s="532"/>
      <c r="U18" s="569"/>
      <c r="V18" s="115"/>
      <c r="W18" s="1022" t="s">
        <v>333</v>
      </c>
      <c r="X18" s="1023"/>
      <c r="Y18" s="1023"/>
      <c r="Z18" s="1024"/>
      <c r="AA18" s="495"/>
      <c r="AB18" s="495"/>
      <c r="AC18" s="1025" t="s">
        <v>334</v>
      </c>
      <c r="AD18" s="1026"/>
      <c r="AE18" s="1026"/>
      <c r="AF18" s="1026"/>
      <c r="AG18" s="1026"/>
      <c r="AH18" s="1027"/>
      <c r="AI18" s="1031" t="s">
        <v>4</v>
      </c>
      <c r="AJ18" s="1032"/>
      <c r="AK18" s="1032"/>
      <c r="AL18" s="1032"/>
      <c r="AM18" s="1032"/>
      <c r="AN18" s="1033"/>
      <c r="AO18" s="1031" t="s">
        <v>335</v>
      </c>
      <c r="AP18" s="1032"/>
      <c r="AQ18" s="1032"/>
      <c r="AR18" s="1032"/>
      <c r="AS18" s="1032"/>
      <c r="AT18" s="1032"/>
      <c r="AU18" s="1042" t="s">
        <v>336</v>
      </c>
      <c r="AV18" s="1043"/>
      <c r="AW18" s="1043"/>
      <c r="AX18" s="1043"/>
      <c r="AY18" s="1043"/>
      <c r="AZ18" s="1044"/>
      <c r="BA18" s="84"/>
      <c r="BB18" s="84"/>
      <c r="BC18" s="1008" t="s">
        <v>274</v>
      </c>
      <c r="BD18" s="1008" t="s">
        <v>337</v>
      </c>
      <c r="BE18" s="1008" t="s">
        <v>338</v>
      </c>
      <c r="BF18" s="394"/>
      <c r="BG18" s="394"/>
      <c r="BH18" s="394"/>
      <c r="BI18" s="394"/>
    </row>
    <row r="19" spans="1:64">
      <c r="A19" s="501" t="s">
        <v>276</v>
      </c>
      <c r="B19" s="501"/>
      <c r="C19" s="570" t="s">
        <v>339</v>
      </c>
      <c r="D19" s="1015"/>
      <c r="E19" s="1015"/>
      <c r="F19" s="496" t="s">
        <v>277</v>
      </c>
      <c r="G19" s="1017"/>
      <c r="H19" s="571" t="s">
        <v>278</v>
      </c>
      <c r="I19" s="501" t="s">
        <v>279</v>
      </c>
      <c r="J19" s="1017"/>
      <c r="K19" s="501" t="s">
        <v>340</v>
      </c>
      <c r="L19" s="572" t="s">
        <v>341</v>
      </c>
      <c r="M19" s="501" t="s">
        <v>280</v>
      </c>
      <c r="N19" s="501" t="s">
        <v>281</v>
      </c>
      <c r="O19" s="501" t="s">
        <v>281</v>
      </c>
      <c r="P19" s="1014" t="s">
        <v>342</v>
      </c>
      <c r="Q19" s="1014" t="s">
        <v>343</v>
      </c>
      <c r="R19" s="1014" t="s">
        <v>344</v>
      </c>
      <c r="S19" s="1014" t="s">
        <v>342</v>
      </c>
      <c r="T19" s="1014" t="s">
        <v>343</v>
      </c>
      <c r="U19" s="1014" t="s">
        <v>344</v>
      </c>
      <c r="V19" s="500" t="s">
        <v>345</v>
      </c>
      <c r="W19" s="497"/>
      <c r="X19" s="498"/>
      <c r="Y19" s="498"/>
      <c r="Z19" s="499"/>
      <c r="AA19" s="498"/>
      <c r="AB19" s="498"/>
      <c r="AC19" s="1028"/>
      <c r="AD19" s="1029"/>
      <c r="AE19" s="1029"/>
      <c r="AF19" s="1029"/>
      <c r="AG19" s="1029"/>
      <c r="AH19" s="1030"/>
      <c r="AI19" s="1034"/>
      <c r="AJ19" s="1035"/>
      <c r="AK19" s="1035"/>
      <c r="AL19" s="1035"/>
      <c r="AM19" s="1035"/>
      <c r="AN19" s="1036"/>
      <c r="AO19" s="1034"/>
      <c r="AP19" s="1035"/>
      <c r="AQ19" s="1035"/>
      <c r="AR19" s="1035"/>
      <c r="AS19" s="1035"/>
      <c r="AT19" s="1035"/>
      <c r="AU19" s="1045"/>
      <c r="AV19" s="1046"/>
      <c r="AW19" s="1046"/>
      <c r="AX19" s="1046"/>
      <c r="AY19" s="1046"/>
      <c r="AZ19" s="1047"/>
      <c r="BA19" s="85" t="s">
        <v>54</v>
      </c>
      <c r="BB19" s="85" t="s">
        <v>55</v>
      </c>
      <c r="BC19" s="1009"/>
      <c r="BD19" s="1009"/>
      <c r="BE19" s="1009"/>
      <c r="BF19" s="1008" t="s">
        <v>439</v>
      </c>
      <c r="BG19" s="1039">
        <v>0.3</v>
      </c>
      <c r="BH19" s="1008" t="s">
        <v>346</v>
      </c>
      <c r="BI19" s="1008" t="s">
        <v>289</v>
      </c>
    </row>
    <row r="20" spans="1:64">
      <c r="A20" s="503"/>
      <c r="B20" s="503"/>
      <c r="C20" s="573"/>
      <c r="D20" s="1016"/>
      <c r="E20" s="1016"/>
      <c r="F20" s="503" t="s">
        <v>282</v>
      </c>
      <c r="G20" s="1018"/>
      <c r="H20" s="574" t="s">
        <v>283</v>
      </c>
      <c r="I20" s="503"/>
      <c r="J20" s="1018"/>
      <c r="K20" s="503"/>
      <c r="L20" s="575"/>
      <c r="M20" s="503" t="s">
        <v>284</v>
      </c>
      <c r="N20" s="503">
        <v>18</v>
      </c>
      <c r="O20" s="503">
        <v>20</v>
      </c>
      <c r="P20" s="1018"/>
      <c r="Q20" s="1018"/>
      <c r="R20" s="1018"/>
      <c r="S20" s="1018"/>
      <c r="T20" s="1018"/>
      <c r="U20" s="1018"/>
      <c r="V20" s="117">
        <v>0.25</v>
      </c>
      <c r="W20" s="323">
        <v>0.1</v>
      </c>
      <c r="X20" s="323">
        <v>0.2</v>
      </c>
      <c r="Y20" s="521">
        <v>0.125</v>
      </c>
      <c r="Z20" s="323">
        <v>0.25</v>
      </c>
      <c r="AA20" s="576"/>
      <c r="AB20" s="576"/>
      <c r="AC20" s="1030" t="s">
        <v>347</v>
      </c>
      <c r="AD20" s="1037"/>
      <c r="AE20" s="1037" t="s">
        <v>348</v>
      </c>
      <c r="AF20" s="1037"/>
      <c r="AG20" s="1037" t="s">
        <v>344</v>
      </c>
      <c r="AH20" s="1037"/>
      <c r="AI20" s="1037" t="s">
        <v>349</v>
      </c>
      <c r="AJ20" s="1037"/>
      <c r="AK20" s="1038" t="s">
        <v>350</v>
      </c>
      <c r="AL20" s="1038"/>
      <c r="AM20" s="1038" t="s">
        <v>344</v>
      </c>
      <c r="AN20" s="1038"/>
      <c r="AO20" s="1040" t="s">
        <v>349</v>
      </c>
      <c r="AP20" s="1041"/>
      <c r="AQ20" s="1038" t="s">
        <v>350</v>
      </c>
      <c r="AR20" s="1038"/>
      <c r="AS20" s="1038" t="s">
        <v>344</v>
      </c>
      <c r="AT20" s="1038"/>
      <c r="AU20" s="1037" t="s">
        <v>349</v>
      </c>
      <c r="AV20" s="1037"/>
      <c r="AW20" s="1038" t="s">
        <v>350</v>
      </c>
      <c r="AX20" s="1038"/>
      <c r="AY20" s="1038" t="s">
        <v>344</v>
      </c>
      <c r="AZ20" s="1034"/>
      <c r="BA20" s="577"/>
      <c r="BB20" s="577"/>
      <c r="BC20" s="1009"/>
      <c r="BD20" s="1009"/>
      <c r="BE20" s="1009"/>
      <c r="BF20" s="1009"/>
      <c r="BG20" s="1009"/>
      <c r="BH20" s="1009"/>
      <c r="BI20" s="1009"/>
    </row>
    <row r="21" spans="1:64">
      <c r="A21" s="500"/>
      <c r="B21" s="500"/>
      <c r="C21" s="500"/>
      <c r="D21" s="501"/>
      <c r="E21" s="501"/>
      <c r="F21" s="501"/>
      <c r="G21" s="501"/>
      <c r="H21" s="500"/>
      <c r="I21" s="500"/>
      <c r="J21" s="500"/>
      <c r="K21" s="500"/>
      <c r="L21" s="568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499"/>
      <c r="X21" s="499"/>
      <c r="Y21" s="499"/>
      <c r="Z21" s="499"/>
      <c r="AA21" s="499"/>
      <c r="AB21" s="499"/>
      <c r="AC21" s="578">
        <v>0.5</v>
      </c>
      <c r="AD21" s="579">
        <v>1</v>
      </c>
      <c r="AE21" s="579">
        <v>0.5</v>
      </c>
      <c r="AF21" s="579">
        <v>1</v>
      </c>
      <c r="AG21" s="579">
        <v>0.5</v>
      </c>
      <c r="AH21" s="579">
        <v>1</v>
      </c>
      <c r="AI21" s="579">
        <v>0.5</v>
      </c>
      <c r="AJ21" s="579">
        <v>1</v>
      </c>
      <c r="AK21" s="579">
        <v>0.5</v>
      </c>
      <c r="AL21" s="579">
        <v>1</v>
      </c>
      <c r="AM21" s="579">
        <v>0.5</v>
      </c>
      <c r="AN21" s="579">
        <v>1</v>
      </c>
      <c r="AO21" s="489" t="s">
        <v>351</v>
      </c>
      <c r="AP21" s="489" t="s">
        <v>352</v>
      </c>
      <c r="AQ21" s="489" t="s">
        <v>351</v>
      </c>
      <c r="AR21" s="489" t="s">
        <v>352</v>
      </c>
      <c r="AS21" s="489" t="s">
        <v>351</v>
      </c>
      <c r="AT21" s="489" t="s">
        <v>352</v>
      </c>
      <c r="AU21" s="579">
        <v>0.5</v>
      </c>
      <c r="AV21" s="579">
        <v>1</v>
      </c>
      <c r="AW21" s="579">
        <v>0.5</v>
      </c>
      <c r="AX21" s="579">
        <v>1</v>
      </c>
      <c r="AY21" s="579">
        <v>0.5</v>
      </c>
      <c r="AZ21" s="580">
        <v>1</v>
      </c>
      <c r="BA21" s="581"/>
      <c r="BB21" s="581"/>
      <c r="BC21" s="1010"/>
      <c r="BD21" s="1010"/>
      <c r="BE21" s="1010"/>
      <c r="BF21" s="1009"/>
      <c r="BG21" s="1009"/>
      <c r="BH21" s="1009"/>
      <c r="BI21" s="1009"/>
      <c r="BJ21" s="555" t="s">
        <v>328</v>
      </c>
    </row>
    <row r="22" spans="1:64" s="492" customFormat="1">
      <c r="A22" s="567"/>
      <c r="B22" s="500" t="s">
        <v>285</v>
      </c>
      <c r="C22" s="500" t="s">
        <v>285</v>
      </c>
      <c r="D22" s="500"/>
      <c r="E22" s="500"/>
      <c r="F22" s="500"/>
      <c r="G22" s="394"/>
      <c r="H22" s="500"/>
      <c r="I22" s="500"/>
      <c r="J22" s="313"/>
      <c r="K22" s="313">
        <v>6600</v>
      </c>
      <c r="L22" s="582"/>
      <c r="M22" s="313">
        <v>11937</v>
      </c>
      <c r="N22" s="500">
        <v>18</v>
      </c>
      <c r="O22" s="313">
        <v>20</v>
      </c>
      <c r="P22" s="500">
        <v>2</v>
      </c>
      <c r="Q22" s="501">
        <v>10</v>
      </c>
      <c r="R22" s="502">
        <v>4</v>
      </c>
      <c r="S22" s="583">
        <f t="shared" ref="S22:S45" si="1">M22/O22*P22</f>
        <v>1193.7</v>
      </c>
      <c r="T22" s="584">
        <f t="shared" ref="T22:T46" si="2">M22/N22*Q22</f>
        <v>6631.6666666666661</v>
      </c>
      <c r="U22" s="583">
        <f t="shared" ref="U22:U29" si="3">M22/N22*R22</f>
        <v>2652.6666666666665</v>
      </c>
      <c r="V22" s="347">
        <f t="shared" ref="V22:V46" si="4">(S22+T22+U22)*25%</f>
        <v>2619.5083333333332</v>
      </c>
      <c r="W22" s="323">
        <v>0.1</v>
      </c>
      <c r="X22" s="323">
        <v>0.2</v>
      </c>
      <c r="Y22" s="521">
        <v>0.125</v>
      </c>
      <c r="Z22" s="323">
        <v>0.25</v>
      </c>
      <c r="AA22" s="522">
        <v>0.15</v>
      </c>
      <c r="AB22" s="522">
        <v>0.3</v>
      </c>
      <c r="AC22" s="585"/>
      <c r="AD22" s="586"/>
      <c r="AE22" s="511">
        <v>1</v>
      </c>
      <c r="AF22" s="511">
        <v>1</v>
      </c>
      <c r="AG22" s="511">
        <v>1</v>
      </c>
      <c r="AH22" s="511">
        <v>1</v>
      </c>
      <c r="AI22" s="513">
        <f>K22*W22</f>
        <v>660</v>
      </c>
      <c r="AJ22" s="513">
        <f>K22*X22</f>
        <v>1320</v>
      </c>
      <c r="AK22" s="511">
        <f>K22*W22/N22*AE22</f>
        <v>36.666666666666664</v>
      </c>
      <c r="AL22" s="511">
        <f>K22*X22/N22*AF22</f>
        <v>73.333333333333329</v>
      </c>
      <c r="AM22" s="512">
        <f>K22*W22/N22*AG22</f>
        <v>36.666666666666664</v>
      </c>
      <c r="AN22" s="511">
        <f>K22*X22/N22*AH22</f>
        <v>73.333333333333329</v>
      </c>
      <c r="AO22" s="587"/>
      <c r="AP22" s="511"/>
      <c r="AQ22" s="587"/>
      <c r="AR22" s="510"/>
      <c r="AS22" s="489"/>
      <c r="AT22" s="510"/>
      <c r="AU22" s="115"/>
      <c r="AV22" s="481"/>
      <c r="AW22" s="480"/>
      <c r="AX22" s="481"/>
      <c r="AY22" s="480"/>
      <c r="AZ22" s="115"/>
      <c r="BA22" s="115"/>
      <c r="BB22" s="115"/>
      <c r="BC22" s="115"/>
      <c r="BD22" s="518"/>
      <c r="BE22" s="116"/>
      <c r="BF22" s="1010"/>
      <c r="BG22" s="554"/>
      <c r="BH22" s="1010"/>
      <c r="BI22" s="1010"/>
      <c r="BJ22" s="561"/>
    </row>
    <row r="23" spans="1:64" s="492" customFormat="1">
      <c r="A23" s="567"/>
      <c r="B23" s="500" t="s">
        <v>286</v>
      </c>
      <c r="C23" s="500" t="s">
        <v>286</v>
      </c>
      <c r="D23" s="500"/>
      <c r="E23" s="500"/>
      <c r="F23" s="500"/>
      <c r="G23" s="394"/>
      <c r="H23" s="500"/>
      <c r="I23" s="500"/>
      <c r="J23" s="313"/>
      <c r="K23" s="313"/>
      <c r="L23" s="582"/>
      <c r="M23" s="313"/>
      <c r="N23" s="500">
        <v>18</v>
      </c>
      <c r="O23" s="588">
        <v>20</v>
      </c>
      <c r="P23" s="500"/>
      <c r="Q23" s="501"/>
      <c r="R23" s="502"/>
      <c r="S23" s="583"/>
      <c r="T23" s="584"/>
      <c r="U23" s="583"/>
      <c r="V23" s="347"/>
      <c r="W23" s="323">
        <v>0.1</v>
      </c>
      <c r="X23" s="323">
        <v>0.2</v>
      </c>
      <c r="Y23" s="521">
        <v>0.125</v>
      </c>
      <c r="Z23" s="323">
        <v>0.25</v>
      </c>
      <c r="AA23" s="522">
        <v>0.15</v>
      </c>
      <c r="AB23" s="522">
        <v>0.3</v>
      </c>
      <c r="AC23" s="585"/>
      <c r="AD23" s="586"/>
      <c r="AE23" s="511"/>
      <c r="AF23" s="511"/>
      <c r="AG23" s="511"/>
      <c r="AH23" s="511"/>
      <c r="AI23" s="512"/>
      <c r="AJ23" s="511"/>
      <c r="AK23" s="511"/>
      <c r="AL23" s="511"/>
      <c r="AM23" s="512"/>
      <c r="AN23" s="511"/>
      <c r="AO23" s="587"/>
      <c r="AP23" s="511"/>
      <c r="AQ23" s="587"/>
      <c r="AR23" s="510"/>
      <c r="AS23" s="489"/>
      <c r="AT23" s="510"/>
      <c r="AU23" s="115"/>
      <c r="AV23" s="532"/>
      <c r="AW23" s="116"/>
      <c r="AX23" s="532"/>
      <c r="AY23" s="115"/>
      <c r="AZ23" s="115"/>
      <c r="BA23" s="115"/>
      <c r="BB23" s="115"/>
      <c r="BC23" s="115"/>
      <c r="BD23" s="518"/>
      <c r="BE23" s="115"/>
      <c r="BF23" s="394"/>
      <c r="BG23" s="394"/>
      <c r="BH23" s="506"/>
      <c r="BI23" s="506"/>
      <c r="BJ23" s="561"/>
    </row>
    <row r="24" spans="1:64">
      <c r="A24" s="115">
        <v>1</v>
      </c>
      <c r="B24" s="115" t="s">
        <v>186</v>
      </c>
      <c r="C24" s="115" t="s">
        <v>353</v>
      </c>
      <c r="D24" s="115"/>
      <c r="E24" s="504" t="s">
        <v>354</v>
      </c>
      <c r="F24" s="589">
        <v>9</v>
      </c>
      <c r="G24" s="115" t="s">
        <v>288</v>
      </c>
      <c r="H24" s="115" t="s">
        <v>487</v>
      </c>
      <c r="I24" s="115"/>
      <c r="J24" s="590">
        <f>(P24+Q24+R24)/18</f>
        <v>0.97222222222222221</v>
      </c>
      <c r="K24" s="115">
        <v>17697</v>
      </c>
      <c r="L24" s="323"/>
      <c r="M24" s="116">
        <v>50083</v>
      </c>
      <c r="N24" s="394">
        <v>18</v>
      </c>
      <c r="O24" s="394">
        <v>18</v>
      </c>
      <c r="P24" s="591"/>
      <c r="Q24" s="592">
        <v>11.5</v>
      </c>
      <c r="R24" s="593">
        <v>6</v>
      </c>
      <c r="S24" s="518">
        <f t="shared" si="1"/>
        <v>0</v>
      </c>
      <c r="T24" s="116">
        <f t="shared" si="2"/>
        <v>31997.472222222219</v>
      </c>
      <c r="U24" s="116">
        <f t="shared" si="3"/>
        <v>16694.333333333332</v>
      </c>
      <c r="V24" s="116">
        <f t="shared" si="4"/>
        <v>12172.951388888887</v>
      </c>
      <c r="W24" s="323">
        <v>0.1</v>
      </c>
      <c r="X24" s="323">
        <v>0.2</v>
      </c>
      <c r="Y24" s="521">
        <v>0.125</v>
      </c>
      <c r="Z24" s="323">
        <v>0.25</v>
      </c>
      <c r="AA24" s="522">
        <v>0.15</v>
      </c>
      <c r="AB24" s="522">
        <v>0.3</v>
      </c>
      <c r="AC24" s="115"/>
      <c r="AD24" s="594"/>
      <c r="AE24" s="593">
        <v>4</v>
      </c>
      <c r="AF24" s="593">
        <v>4</v>
      </c>
      <c r="AG24" s="593">
        <v>4</v>
      </c>
      <c r="AH24" s="595"/>
      <c r="AI24" s="512">
        <f>M24*W23/O24*AC24</f>
        <v>0</v>
      </c>
      <c r="AJ24" s="511">
        <f>K24*X24/O24*AD24</f>
        <v>0</v>
      </c>
      <c r="AK24" s="511">
        <f>K24*W24/N24*AE24</f>
        <v>393.26666666666665</v>
      </c>
      <c r="AL24" s="511">
        <f>K24*X24/N24*AF24</f>
        <v>786.5333333333333</v>
      </c>
      <c r="AM24" s="512">
        <f>K24*W24/N24*AG24</f>
        <v>393.26666666666665</v>
      </c>
      <c r="AN24" s="511">
        <f>K24*X24/N24*AH24</f>
        <v>0</v>
      </c>
      <c r="AO24" s="116"/>
      <c r="AP24" s="115"/>
      <c r="AQ24" s="115"/>
      <c r="AR24" s="116"/>
      <c r="AS24" s="116"/>
      <c r="AT24" s="116"/>
      <c r="AU24" s="115"/>
      <c r="AV24" s="532"/>
      <c r="AW24" s="116"/>
      <c r="AX24" s="532"/>
      <c r="AY24" s="115">
        <v>2655</v>
      </c>
      <c r="AZ24" s="115"/>
      <c r="BA24" s="115"/>
      <c r="BB24" s="115"/>
      <c r="BC24" s="116">
        <f>((K24*L24)/18)*(P24+Q24+R24)</f>
        <v>0</v>
      </c>
      <c r="BD24" s="518"/>
      <c r="BE24" s="596">
        <v>3539</v>
      </c>
      <c r="BF24" s="394"/>
      <c r="BG24" s="394">
        <f>(T24+U24)*30%</f>
        <v>14607.541666666664</v>
      </c>
      <c r="BH24" s="506">
        <f>S24+T24+U24+V24+AI24+AJ24+AK24+AL24+AM24+AN24+AP24+AR24+AT24+AU24+AV24+AW24+AX24+AY24+AZ24+BD24+BE24+BF24+BC24+BG24</f>
        <v>83239.365277777775</v>
      </c>
      <c r="BI24" s="506">
        <f>T24+U24+V24+W24+AJ24+AK24+AL24+AM24+AN24+AO24+AQ24+AS24+AU24+AV24+AW24+AX24+AY24+AZ24+BA24+BE24+BF24+BD24+BG24</f>
        <v>83239.465277777781</v>
      </c>
      <c r="BJ24" s="115"/>
      <c r="BK24" s="590">
        <v>0.75</v>
      </c>
      <c r="BL24" s="597">
        <f>BH24-BI24</f>
        <v>-0.10000000000582077</v>
      </c>
    </row>
    <row r="25" spans="1:64">
      <c r="A25" s="598">
        <v>2</v>
      </c>
      <c r="B25" s="115" t="s">
        <v>357</v>
      </c>
      <c r="C25" s="115" t="s">
        <v>358</v>
      </c>
      <c r="D25" s="115"/>
      <c r="E25" s="504" t="s">
        <v>287</v>
      </c>
      <c r="F25" s="589">
        <v>9</v>
      </c>
      <c r="G25" s="524" t="s">
        <v>288</v>
      </c>
      <c r="H25" s="524" t="s">
        <v>482</v>
      </c>
      <c r="I25" s="115" t="s">
        <v>359</v>
      </c>
      <c r="J25" s="590">
        <f t="shared" ref="J25:J47" si="5">(P25+Q25+R25)/18</f>
        <v>0.5</v>
      </c>
      <c r="K25" s="115">
        <v>17697</v>
      </c>
      <c r="L25" s="599">
        <v>1</v>
      </c>
      <c r="M25" s="116">
        <v>50967</v>
      </c>
      <c r="N25" s="503">
        <v>18</v>
      </c>
      <c r="O25" s="394">
        <v>18</v>
      </c>
      <c r="P25" s="600"/>
      <c r="Q25" s="601">
        <v>8</v>
      </c>
      <c r="R25" s="602">
        <v>1</v>
      </c>
      <c r="S25" s="518">
        <f t="shared" si="1"/>
        <v>0</v>
      </c>
      <c r="T25" s="116">
        <f t="shared" si="2"/>
        <v>22652</v>
      </c>
      <c r="U25" s="116">
        <f t="shared" si="3"/>
        <v>2831.5</v>
      </c>
      <c r="V25" s="116">
        <f t="shared" si="4"/>
        <v>6370.875</v>
      </c>
      <c r="W25" s="323">
        <v>0.1</v>
      </c>
      <c r="X25" s="323">
        <v>0.2</v>
      </c>
      <c r="Y25" s="521">
        <v>0.125</v>
      </c>
      <c r="Z25" s="323">
        <v>0.25</v>
      </c>
      <c r="AA25" s="522">
        <v>0.15</v>
      </c>
      <c r="AB25" s="522">
        <v>0.3</v>
      </c>
      <c r="AC25" s="115"/>
      <c r="AD25" s="603"/>
      <c r="AE25" s="593"/>
      <c r="AF25" s="593">
        <v>5</v>
      </c>
      <c r="AG25" s="593"/>
      <c r="AH25" s="595"/>
      <c r="AI25" s="512">
        <f>M25*W24/O25*AC25</f>
        <v>0</v>
      </c>
      <c r="AJ25" s="511">
        <f t="shared" ref="AJ25:AJ45" si="6">K25*X25/O25*AD25</f>
        <v>0</v>
      </c>
      <c r="AK25" s="511">
        <f>K25*W25/N25*AE25</f>
        <v>0</v>
      </c>
      <c r="AL25" s="511">
        <f>K25*X25/N25*AF25</f>
        <v>983.16666666666663</v>
      </c>
      <c r="AM25" s="512">
        <f>K25*W25/N25*AG25</f>
        <v>0</v>
      </c>
      <c r="AN25" s="511">
        <f>K25*X25/N25*AH25</f>
        <v>0</v>
      </c>
      <c r="AO25" s="116"/>
      <c r="AP25" s="116"/>
      <c r="AQ25" s="116"/>
      <c r="AR25" s="116"/>
      <c r="AS25" s="116"/>
      <c r="AT25" s="116"/>
      <c r="AU25" s="115"/>
      <c r="AV25" s="532"/>
      <c r="AW25" s="116"/>
      <c r="AX25" s="532"/>
      <c r="AY25" s="115"/>
      <c r="AZ25" s="115"/>
      <c r="BA25" s="115">
        <f>BC25*40%</f>
        <v>3539.4</v>
      </c>
      <c r="BB25" s="116">
        <f>BC25-BA25</f>
        <v>5309.1</v>
      </c>
      <c r="BC25" s="116">
        <f>((K25*L25)/18)*(P25+Q25+R25)</f>
        <v>8848.5</v>
      </c>
      <c r="BD25" s="518"/>
      <c r="BE25" s="596"/>
      <c r="BF25" s="394"/>
      <c r="BG25" s="394"/>
      <c r="BH25" s="506">
        <f>S25+T25+U25+V25+AI25+AJ25+AK25+AL25+AM25+AN25+AP25+AR25+AT25+AU25+AV25+AW25+AX25+AY25+AZ25+BD25+BE25+BF25+BC25</f>
        <v>41686.041666666664</v>
      </c>
      <c r="BI25" s="506">
        <f>T25+U25+V25+W25+AJ25+AK25+AL25+AM25+AN25+AO25+AQ25+AS25+AU25+AV25+AW25+AX25+AY25+AZ25+BB25+BE25+BF25+BD25</f>
        <v>38146.741666666661</v>
      </c>
      <c r="BJ25" s="115" t="s">
        <v>359</v>
      </c>
      <c r="BK25" s="590">
        <v>0.5</v>
      </c>
      <c r="BL25" s="597">
        <f t="shared" ref="BL25:BL45" si="7">BH25-BI25</f>
        <v>3539.3000000000029</v>
      </c>
    </row>
    <row r="26" spans="1:64">
      <c r="A26" s="598">
        <v>4</v>
      </c>
      <c r="B26" s="115" t="s">
        <v>367</v>
      </c>
      <c r="C26" s="115" t="s">
        <v>370</v>
      </c>
      <c r="D26" s="115"/>
      <c r="E26" s="504" t="s">
        <v>187</v>
      </c>
      <c r="F26" s="604">
        <v>11</v>
      </c>
      <c r="G26" s="115" t="s">
        <v>291</v>
      </c>
      <c r="H26" s="115" t="s">
        <v>490</v>
      </c>
      <c r="I26" s="532" t="s">
        <v>300</v>
      </c>
      <c r="J26" s="590">
        <f t="shared" si="5"/>
        <v>1.1111111111111112</v>
      </c>
      <c r="K26" s="115">
        <v>17697</v>
      </c>
      <c r="L26" s="599">
        <v>0.3</v>
      </c>
      <c r="M26" s="116">
        <v>42827</v>
      </c>
      <c r="N26" s="604">
        <v>18</v>
      </c>
      <c r="O26" s="394">
        <v>18</v>
      </c>
      <c r="P26" s="591">
        <v>20</v>
      </c>
      <c r="Q26" s="596"/>
      <c r="R26" s="593"/>
      <c r="S26" s="116">
        <f>M26/O26*P26</f>
        <v>47585.555555555555</v>
      </c>
      <c r="T26" s="116">
        <f t="shared" si="2"/>
        <v>0</v>
      </c>
      <c r="U26" s="116">
        <f t="shared" si="3"/>
        <v>0</v>
      </c>
      <c r="V26" s="116">
        <f t="shared" si="4"/>
        <v>11896.388888888889</v>
      </c>
      <c r="W26" s="323">
        <v>0.1</v>
      </c>
      <c r="X26" s="323">
        <v>0.2</v>
      </c>
      <c r="Y26" s="521">
        <v>0.125</v>
      </c>
      <c r="Z26" s="323">
        <v>0.25</v>
      </c>
      <c r="AA26" s="522">
        <v>0.15</v>
      </c>
      <c r="AB26" s="522">
        <v>0.3</v>
      </c>
      <c r="AC26" s="394"/>
      <c r="AD26" s="603">
        <v>18</v>
      </c>
      <c r="AE26" s="593"/>
      <c r="AF26" s="593"/>
      <c r="AG26" s="593"/>
      <c r="AH26" s="595"/>
      <c r="AI26" s="512">
        <f>K26*Y26/O26*AC26</f>
        <v>0</v>
      </c>
      <c r="AJ26" s="511">
        <f>K26*X26/O26*AD26</f>
        <v>3539.3999999999996</v>
      </c>
      <c r="AK26" s="511">
        <f>K26*Y26/N26*AE26</f>
        <v>0</v>
      </c>
      <c r="AL26" s="511">
        <f>K26*Z26/N26*AF26</f>
        <v>0</v>
      </c>
      <c r="AM26" s="512">
        <f>K26*Y26/N26*AG26</f>
        <v>0</v>
      </c>
      <c r="AN26" s="511">
        <f>K26*Z26/N26*AH26</f>
        <v>0</v>
      </c>
      <c r="AO26" s="115">
        <v>3</v>
      </c>
      <c r="AP26" s="115">
        <f>K26*Z26/18*3</f>
        <v>737.375</v>
      </c>
      <c r="AQ26" s="115"/>
      <c r="AR26" s="116"/>
      <c r="AS26" s="116"/>
      <c r="AT26" s="116"/>
      <c r="AU26" s="116"/>
      <c r="AV26" s="605">
        <v>4424</v>
      </c>
      <c r="AW26" s="116"/>
      <c r="AX26" s="532"/>
      <c r="AY26" s="116"/>
      <c r="AZ26" s="115"/>
      <c r="BA26" s="115">
        <f>17697*10%/18*P26</f>
        <v>1966.3333333333333</v>
      </c>
      <c r="BB26" s="116">
        <f t="shared" ref="BB26:BB46" si="8">BC26-BA26</f>
        <v>3932.666666666667</v>
      </c>
      <c r="BC26" s="116">
        <f t="shared" ref="BC26:BC46" si="9">((K26*L26)/18)*(P26+Q26+R26)</f>
        <v>5899</v>
      </c>
      <c r="BD26" s="518"/>
      <c r="BE26" s="596"/>
      <c r="BF26" s="394"/>
      <c r="BG26" s="394">
        <f>S26*30%</f>
        <v>14275.666666666666</v>
      </c>
      <c r="BH26" s="506">
        <f>S26+T26+U26+V26+AI26+AJ26+AK26+AL26+AM26+AN26+AP26+AR26+AT26+AU26+AV26+AW26+AX26+AY26+AZ26+BD26+BE26+BF26+BC26+BG26</f>
        <v>88357.386111111118</v>
      </c>
      <c r="BI26" s="506">
        <f>T26+U26+V26+S26+AJ26+AK26+AL26+AM26+AN26+AO26+AQ26+AS26+AU26+AV26+AW26+AX26+AY26+AZ26+BB26+BE26+BF26+BD26+BG26</f>
        <v>85656.67777777779</v>
      </c>
      <c r="BJ26" s="532" t="s">
        <v>300</v>
      </c>
      <c r="BK26" s="590">
        <v>0.83</v>
      </c>
      <c r="BL26" s="597">
        <f t="shared" si="7"/>
        <v>2700.7083333333285</v>
      </c>
    </row>
    <row r="27" spans="1:64">
      <c r="A27" s="115">
        <v>5</v>
      </c>
      <c r="B27" s="115" t="s">
        <v>369</v>
      </c>
      <c r="C27" s="115" t="s">
        <v>393</v>
      </c>
      <c r="D27" s="115"/>
      <c r="E27" s="504" t="s">
        <v>371</v>
      </c>
      <c r="F27" s="604">
        <v>11</v>
      </c>
      <c r="G27" s="115" t="s">
        <v>291</v>
      </c>
      <c r="H27" s="115" t="s">
        <v>491</v>
      </c>
      <c r="I27" s="532" t="s">
        <v>374</v>
      </c>
      <c r="J27" s="590">
        <f t="shared" si="5"/>
        <v>1.0555555555555556</v>
      </c>
      <c r="K27" s="115">
        <v>17697</v>
      </c>
      <c r="L27" s="599">
        <v>0.45</v>
      </c>
      <c r="M27" s="116">
        <v>42827</v>
      </c>
      <c r="N27" s="604">
        <v>18</v>
      </c>
      <c r="O27" s="394">
        <v>18</v>
      </c>
      <c r="P27" s="591">
        <v>19</v>
      </c>
      <c r="Q27" s="596"/>
      <c r="R27" s="593"/>
      <c r="S27" s="518">
        <f>M27/O27*P27</f>
        <v>45206.277777777781</v>
      </c>
      <c r="T27" s="116">
        <f t="shared" si="2"/>
        <v>0</v>
      </c>
      <c r="U27" s="116">
        <f t="shared" si="3"/>
        <v>0</v>
      </c>
      <c r="V27" s="116">
        <f t="shared" si="4"/>
        <v>11301.569444444445</v>
      </c>
      <c r="W27" s="323">
        <v>0.1</v>
      </c>
      <c r="X27" s="323">
        <v>0.2</v>
      </c>
      <c r="Y27" s="521">
        <v>0.125</v>
      </c>
      <c r="Z27" s="323">
        <v>0.25</v>
      </c>
      <c r="AA27" s="522">
        <v>0.15</v>
      </c>
      <c r="AB27" s="522">
        <v>0.3</v>
      </c>
      <c r="AC27" s="394"/>
      <c r="AD27" s="603">
        <v>18</v>
      </c>
      <c r="AE27" s="593"/>
      <c r="AF27" s="593"/>
      <c r="AG27" s="593"/>
      <c r="AH27" s="595"/>
      <c r="AI27" s="594"/>
      <c r="AJ27" s="511">
        <f t="shared" si="6"/>
        <v>3539.3999999999996</v>
      </c>
      <c r="AK27" s="115"/>
      <c r="AL27" s="511">
        <f>K27*X27/N27*AF27</f>
        <v>0</v>
      </c>
      <c r="AM27" s="532"/>
      <c r="AN27" s="116"/>
      <c r="AO27" s="593">
        <v>3</v>
      </c>
      <c r="AP27" s="115">
        <f>K27*Z27/18*3</f>
        <v>737.375</v>
      </c>
      <c r="AQ27" s="606"/>
      <c r="AR27" s="116"/>
      <c r="AS27" s="116"/>
      <c r="AT27" s="116"/>
      <c r="AU27" s="116"/>
      <c r="AV27" s="605">
        <v>4424</v>
      </c>
      <c r="AW27" s="116"/>
      <c r="AX27" s="532"/>
      <c r="AY27" s="116"/>
      <c r="AZ27" s="115"/>
      <c r="BA27" s="115">
        <f>17697*15%</f>
        <v>2654.5499999999997</v>
      </c>
      <c r="BB27" s="116">
        <f t="shared" si="8"/>
        <v>5751.5250000000015</v>
      </c>
      <c r="BC27" s="116">
        <f t="shared" si="9"/>
        <v>8406.0750000000007</v>
      </c>
      <c r="BD27" s="518"/>
      <c r="BE27" s="596">
        <v>3539</v>
      </c>
      <c r="BF27" s="394"/>
      <c r="BG27" s="394"/>
      <c r="BH27" s="506">
        <f>S27+T27+U27+V27+AI27+AJ27+AK27+AL27+AM27+AN27+AP27+AR27+AT27+AU27+AV27+AW27+AX27+AY27+AZ27+BD27+BE27+BF27+BC27</f>
        <v>77153.697222222225</v>
      </c>
      <c r="BI27" s="506">
        <f t="shared" ref="BI27:BI35" si="10">T27+U27+V27+S27+AJ27+AK27+AL27+AM27+AN27+AO27+AQ27+AS27+AU27+AV27+AW27+AX27+AY27+AZ27+BB27+BE27+BF27+BD27</f>
        <v>73764.772222222236</v>
      </c>
      <c r="BJ27" s="532" t="s">
        <v>374</v>
      </c>
      <c r="BK27" s="590">
        <v>1.1100000000000001</v>
      </c>
      <c r="BL27" s="597">
        <f t="shared" si="7"/>
        <v>3388.9249999999884</v>
      </c>
    </row>
    <row r="28" spans="1:64">
      <c r="A28" s="598">
        <v>6</v>
      </c>
      <c r="B28" s="115" t="s">
        <v>541</v>
      </c>
      <c r="C28" s="115" t="s">
        <v>392</v>
      </c>
      <c r="D28" s="115"/>
      <c r="E28" s="504"/>
      <c r="F28" s="604">
        <v>11</v>
      </c>
      <c r="G28" s="115" t="s">
        <v>291</v>
      </c>
      <c r="H28" s="115" t="s">
        <v>542</v>
      </c>
      <c r="I28" s="532" t="s">
        <v>300</v>
      </c>
      <c r="J28" s="590">
        <f t="shared" si="5"/>
        <v>0.94444444444444442</v>
      </c>
      <c r="K28" s="115">
        <v>17697</v>
      </c>
      <c r="L28" s="599">
        <v>0.3</v>
      </c>
      <c r="M28" s="116">
        <v>39110</v>
      </c>
      <c r="N28" s="604">
        <v>18</v>
      </c>
      <c r="O28" s="394">
        <v>18</v>
      </c>
      <c r="P28" s="591">
        <v>17</v>
      </c>
      <c r="Q28" s="596"/>
      <c r="R28" s="593"/>
      <c r="S28" s="518">
        <f>M28/O28*P28</f>
        <v>36937.222222222226</v>
      </c>
      <c r="T28" s="116">
        <f t="shared" si="2"/>
        <v>0</v>
      </c>
      <c r="U28" s="116">
        <f t="shared" si="3"/>
        <v>0</v>
      </c>
      <c r="V28" s="116">
        <f t="shared" si="4"/>
        <v>9234.3055555555566</v>
      </c>
      <c r="W28" s="323">
        <v>0.1</v>
      </c>
      <c r="X28" s="323">
        <v>0.2</v>
      </c>
      <c r="Y28" s="521">
        <v>0.125</v>
      </c>
      <c r="Z28" s="323">
        <v>0.25</v>
      </c>
      <c r="AA28" s="522">
        <v>0.15</v>
      </c>
      <c r="AB28" s="522">
        <v>0.3</v>
      </c>
      <c r="AC28" s="394"/>
      <c r="AD28" s="603">
        <v>16</v>
      </c>
      <c r="AE28" s="593"/>
      <c r="AF28" s="593"/>
      <c r="AG28" s="593"/>
      <c r="AH28" s="595"/>
      <c r="AI28" s="682"/>
      <c r="AJ28" s="511">
        <f t="shared" si="6"/>
        <v>3146.1333333333332</v>
      </c>
      <c r="AK28" s="480"/>
      <c r="AL28" s="511"/>
      <c r="AM28" s="481"/>
      <c r="AN28" s="535"/>
      <c r="AO28" s="593"/>
      <c r="AP28" s="115"/>
      <c r="AQ28" s="606"/>
      <c r="AR28" s="116"/>
      <c r="AS28" s="116"/>
      <c r="AT28" s="116"/>
      <c r="AU28" s="116"/>
      <c r="AV28" s="605">
        <v>4424</v>
      </c>
      <c r="AW28" s="116"/>
      <c r="AX28" s="532"/>
      <c r="AY28" s="116"/>
      <c r="AZ28" s="115"/>
      <c r="BA28" s="115">
        <f>17697*10%/18*P28</f>
        <v>1671.3833333333332</v>
      </c>
      <c r="BB28" s="116">
        <f t="shared" si="8"/>
        <v>3342.7666666666664</v>
      </c>
      <c r="BC28" s="116">
        <f t="shared" si="9"/>
        <v>5014.1499999999996</v>
      </c>
      <c r="BD28" s="518"/>
      <c r="BE28" s="596"/>
      <c r="BF28" s="394"/>
      <c r="BG28" s="394"/>
      <c r="BH28" s="506">
        <f>S28+T28+U28+V28+AI28+AJ28+AK28+AL28+AM28+AN28+AP28+AR28+AT28+AU28+AV28+AW28+AX28+AY28+AZ28+BD28+BE28+BF28+BC28+BG28</f>
        <v>58755.811111111114</v>
      </c>
      <c r="BI28" s="506">
        <f>T28+U28+V28+S28+AJ28+AK28+AL28+AM28+AN28+AO28+AQ28+AS28+AU28+AV28+AW28+AX28+AY28+AZ28+BB28+BE28+BF28+BD28+BG28</f>
        <v>57084.427777777775</v>
      </c>
      <c r="BJ28" s="532" t="s">
        <v>300</v>
      </c>
      <c r="BK28" s="590"/>
      <c r="BL28" s="597"/>
    </row>
    <row r="29" spans="1:64">
      <c r="A29" s="598">
        <v>6</v>
      </c>
      <c r="B29" s="115" t="s">
        <v>373</v>
      </c>
      <c r="C29" s="115" t="s">
        <v>492</v>
      </c>
      <c r="D29" s="115"/>
      <c r="E29" s="504">
        <v>290656</v>
      </c>
      <c r="F29" s="604">
        <v>9</v>
      </c>
      <c r="G29" s="115" t="s">
        <v>288</v>
      </c>
      <c r="H29" s="115" t="s">
        <v>493</v>
      </c>
      <c r="I29" s="532" t="s">
        <v>374</v>
      </c>
      <c r="J29" s="590">
        <f t="shared" si="5"/>
        <v>1.1666666666666667</v>
      </c>
      <c r="K29" s="115">
        <v>17697</v>
      </c>
      <c r="L29" s="599">
        <v>0.5</v>
      </c>
      <c r="M29" s="116">
        <v>50967</v>
      </c>
      <c r="N29" s="604">
        <v>18</v>
      </c>
      <c r="O29" s="394">
        <v>18</v>
      </c>
      <c r="P29" s="591">
        <v>4</v>
      </c>
      <c r="Q29" s="596">
        <v>13</v>
      </c>
      <c r="R29" s="593">
        <v>4</v>
      </c>
      <c r="S29" s="518">
        <f t="shared" si="1"/>
        <v>11326</v>
      </c>
      <c r="T29" s="116">
        <f t="shared" si="2"/>
        <v>36809.5</v>
      </c>
      <c r="U29" s="116">
        <f t="shared" si="3"/>
        <v>11326</v>
      </c>
      <c r="V29" s="116">
        <f t="shared" si="4"/>
        <v>14865.375</v>
      </c>
      <c r="W29" s="323">
        <v>0.1</v>
      </c>
      <c r="X29" s="323">
        <v>0.2</v>
      </c>
      <c r="Y29" s="521">
        <v>0.125</v>
      </c>
      <c r="Z29" s="323">
        <v>0.25</v>
      </c>
      <c r="AA29" s="522">
        <v>0.15</v>
      </c>
      <c r="AB29" s="522">
        <v>0.3</v>
      </c>
      <c r="AC29" s="394"/>
      <c r="AD29" s="603"/>
      <c r="AE29" s="593">
        <v>4</v>
      </c>
      <c r="AF29" s="593">
        <v>8</v>
      </c>
      <c r="AG29" s="593">
        <v>4</v>
      </c>
      <c r="AH29" s="607"/>
      <c r="AI29" s="512"/>
      <c r="AJ29" s="511">
        <f t="shared" si="6"/>
        <v>0</v>
      </c>
      <c r="AK29" s="511">
        <f>K29*W29/N29*AE29</f>
        <v>393.26666666666665</v>
      </c>
      <c r="AL29" s="511">
        <f>K29*X29/N29*AF29</f>
        <v>1573.0666666666666</v>
      </c>
      <c r="AM29" s="512">
        <f>K29*W29/N29*AG29</f>
        <v>393.26666666666665</v>
      </c>
      <c r="AN29" s="511">
        <f>K29*X29/N29*AH29</f>
        <v>0</v>
      </c>
      <c r="AO29" s="593"/>
      <c r="AP29" s="116"/>
      <c r="AQ29" s="116"/>
      <c r="AR29" s="116"/>
      <c r="AS29" s="116"/>
      <c r="AT29" s="116"/>
      <c r="AU29" s="116"/>
      <c r="AV29" s="532"/>
      <c r="AW29" s="116"/>
      <c r="AX29" s="532"/>
      <c r="AY29" s="115">
        <v>2655</v>
      </c>
      <c r="AZ29" s="115"/>
      <c r="BA29" s="115">
        <f>17697*15%</f>
        <v>2654.5499999999997</v>
      </c>
      <c r="BB29" s="116">
        <f t="shared" si="8"/>
        <v>7668.7000000000007</v>
      </c>
      <c r="BC29" s="116">
        <f t="shared" si="9"/>
        <v>10323.25</v>
      </c>
      <c r="BD29" s="518"/>
      <c r="BE29" s="596"/>
      <c r="BF29" s="394"/>
      <c r="BG29" s="394"/>
      <c r="BH29" s="506">
        <f>S29+T29+U29+V29+AI29+AJ29+AK29+AL29+AM29+AN29+AP29+AR29+AT29+AU29+AV29+AW29+AX29+AY29+AZ29+BD29+BE29+BF29+BC29</f>
        <v>89664.724999999991</v>
      </c>
      <c r="BI29" s="506">
        <f t="shared" si="10"/>
        <v>87010.174999999988</v>
      </c>
      <c r="BJ29" s="532" t="s">
        <v>374</v>
      </c>
      <c r="BK29" s="590">
        <v>1</v>
      </c>
      <c r="BL29" s="597">
        <f t="shared" si="7"/>
        <v>2654.5500000000029</v>
      </c>
    </row>
    <row r="30" spans="1:64">
      <c r="A30" s="115">
        <v>7</v>
      </c>
      <c r="B30" s="115" t="s">
        <v>375</v>
      </c>
      <c r="C30" s="115" t="s">
        <v>376</v>
      </c>
      <c r="D30" s="115"/>
      <c r="E30" s="504" t="s">
        <v>377</v>
      </c>
      <c r="F30" s="394">
        <v>9</v>
      </c>
      <c r="G30" s="115" t="s">
        <v>288</v>
      </c>
      <c r="H30" s="115" t="s">
        <v>494</v>
      </c>
      <c r="I30" s="115" t="s">
        <v>374</v>
      </c>
      <c r="J30" s="590">
        <f t="shared" si="5"/>
        <v>0.61111111111111116</v>
      </c>
      <c r="K30" s="115">
        <v>17697</v>
      </c>
      <c r="L30" s="599">
        <v>0.5</v>
      </c>
      <c r="M30" s="116">
        <v>50967</v>
      </c>
      <c r="N30" s="394">
        <v>18</v>
      </c>
      <c r="O30" s="394">
        <v>18</v>
      </c>
      <c r="P30" s="591"/>
      <c r="Q30" s="596"/>
      <c r="R30" s="593">
        <v>11</v>
      </c>
      <c r="S30" s="518">
        <f t="shared" si="1"/>
        <v>0</v>
      </c>
      <c r="T30" s="116">
        <f t="shared" si="2"/>
        <v>0</v>
      </c>
      <c r="U30" s="116">
        <f t="shared" ref="U30:U38" si="11">M30/N30*R30</f>
        <v>31146.5</v>
      </c>
      <c r="V30" s="116">
        <f t="shared" si="4"/>
        <v>7786.625</v>
      </c>
      <c r="W30" s="323">
        <v>0.1</v>
      </c>
      <c r="X30" s="323">
        <v>0.2</v>
      </c>
      <c r="Y30" s="521">
        <v>0.125</v>
      </c>
      <c r="Z30" s="323">
        <v>0.25</v>
      </c>
      <c r="AA30" s="522">
        <v>0.15</v>
      </c>
      <c r="AB30" s="522">
        <v>0.3</v>
      </c>
      <c r="AC30" s="394"/>
      <c r="AD30" s="603"/>
      <c r="AE30" s="593"/>
      <c r="AF30" s="593"/>
      <c r="AG30" s="596">
        <v>10</v>
      </c>
      <c r="AH30" s="595"/>
      <c r="AI30" s="512"/>
      <c r="AJ30" s="511">
        <f t="shared" si="6"/>
        <v>0</v>
      </c>
      <c r="AK30" s="511">
        <f>K30*W30/N30*AE30</f>
        <v>0</v>
      </c>
      <c r="AL30" s="511">
        <f>K30*X30/N30*AF30</f>
        <v>0</v>
      </c>
      <c r="AM30" s="512">
        <f>K30*W30/N30*AG30</f>
        <v>983.16666666666663</v>
      </c>
      <c r="AN30" s="511">
        <f>K30*X30/N30*AH30</f>
        <v>0</v>
      </c>
      <c r="AO30" s="593"/>
      <c r="AP30" s="116"/>
      <c r="AQ30" s="596"/>
      <c r="AR30" s="116"/>
      <c r="AS30" s="116"/>
      <c r="AT30" s="116"/>
      <c r="AU30" s="116"/>
      <c r="AV30" s="532"/>
      <c r="AW30" s="116"/>
      <c r="AX30" s="532"/>
      <c r="AY30" s="115"/>
      <c r="AZ30" s="115"/>
      <c r="BA30" s="115">
        <f>17697*15%/18*14</f>
        <v>2064.65</v>
      </c>
      <c r="BB30" s="116">
        <f t="shared" si="8"/>
        <v>3342.766666666666</v>
      </c>
      <c r="BC30" s="116">
        <f t="shared" si="9"/>
        <v>5407.4166666666661</v>
      </c>
      <c r="BD30" s="608"/>
      <c r="BE30" s="596"/>
      <c r="BF30" s="506"/>
      <c r="BG30" s="506"/>
      <c r="BH30" s="506">
        <f>S30+T30+U30+V30+AI30+AJ30+AK30+AL30+AM30+AN30+AP30+AR30+AT30+AU30+AV30+AW30+AX30+AY30+AZ30+BD30+BE30+BF30+BC30</f>
        <v>45323.708333333328</v>
      </c>
      <c r="BI30" s="506">
        <f t="shared" si="10"/>
        <v>43259.058333333327</v>
      </c>
      <c r="BJ30" s="115" t="s">
        <v>374</v>
      </c>
      <c r="BK30" s="590">
        <v>0.78</v>
      </c>
      <c r="BL30" s="597">
        <f t="shared" si="7"/>
        <v>2064.6500000000015</v>
      </c>
    </row>
    <row r="31" spans="1:64">
      <c r="A31" s="598">
        <v>7</v>
      </c>
      <c r="B31" s="115" t="s">
        <v>375</v>
      </c>
      <c r="C31" s="115" t="s">
        <v>378</v>
      </c>
      <c r="D31" s="115"/>
      <c r="E31" s="504" t="s">
        <v>377</v>
      </c>
      <c r="F31" s="394">
        <v>9</v>
      </c>
      <c r="G31" s="115" t="s">
        <v>288</v>
      </c>
      <c r="H31" s="115" t="s">
        <v>494</v>
      </c>
      <c r="I31" s="115" t="s">
        <v>300</v>
      </c>
      <c r="J31" s="590">
        <f t="shared" si="5"/>
        <v>0.51444444444444448</v>
      </c>
      <c r="K31" s="115">
        <v>17697</v>
      </c>
      <c r="L31" s="599">
        <v>0.3</v>
      </c>
      <c r="M31" s="116">
        <v>50967</v>
      </c>
      <c r="N31" s="394">
        <v>18</v>
      </c>
      <c r="O31" s="394">
        <v>18</v>
      </c>
      <c r="P31" s="591"/>
      <c r="Q31" s="609">
        <v>7.26</v>
      </c>
      <c r="R31" s="593">
        <v>2</v>
      </c>
      <c r="S31" s="518">
        <f>M31/O32*P31</f>
        <v>0</v>
      </c>
      <c r="T31" s="116">
        <f>M31/N32*Q31</f>
        <v>20556.689999999999</v>
      </c>
      <c r="U31" s="116">
        <f>M31/N32*R31</f>
        <v>5663</v>
      </c>
      <c r="V31" s="116">
        <f t="shared" si="4"/>
        <v>6554.9224999999997</v>
      </c>
      <c r="W31" s="323">
        <v>0.1</v>
      </c>
      <c r="X31" s="323">
        <v>0.2</v>
      </c>
      <c r="Y31" s="521">
        <v>0.125</v>
      </c>
      <c r="Z31" s="323">
        <v>0.25</v>
      </c>
      <c r="AA31" s="522">
        <v>0.15</v>
      </c>
      <c r="AB31" s="522">
        <v>0.3</v>
      </c>
      <c r="AC31" s="394"/>
      <c r="AD31" s="603"/>
      <c r="AE31" s="593"/>
      <c r="AF31" s="593"/>
      <c r="AG31" s="596"/>
      <c r="AH31" s="595"/>
      <c r="AI31" s="512"/>
      <c r="AJ31" s="511">
        <f>K31*X31/O32*AD31</f>
        <v>0</v>
      </c>
      <c r="AK31" s="511">
        <f>K31*W31/N32*AE31</f>
        <v>0</v>
      </c>
      <c r="AL31" s="511">
        <f>K31*X31/N32*AF31</f>
        <v>0</v>
      </c>
      <c r="AM31" s="512">
        <f>K31*W31/N32*AG31</f>
        <v>0</v>
      </c>
      <c r="AN31" s="511">
        <f>K31*X31/N32*AH31</f>
        <v>0</v>
      </c>
      <c r="AO31" s="593"/>
      <c r="AP31" s="116"/>
      <c r="AQ31" s="596"/>
      <c r="AR31" s="116"/>
      <c r="AS31" s="116"/>
      <c r="AT31" s="116"/>
      <c r="AU31" s="116"/>
      <c r="AV31" s="532"/>
      <c r="AW31" s="116"/>
      <c r="AX31" s="532"/>
      <c r="AY31" s="115"/>
      <c r="AZ31" s="115"/>
      <c r="BA31" s="116">
        <f>17697*10%/18*5.88</f>
        <v>578.10199999999998</v>
      </c>
      <c r="BB31" s="116">
        <f t="shared" si="8"/>
        <v>2153.1349999999998</v>
      </c>
      <c r="BC31" s="116">
        <f t="shared" si="9"/>
        <v>2731.2369999999996</v>
      </c>
      <c r="BD31" s="608"/>
      <c r="BE31" s="596">
        <v>3539</v>
      </c>
      <c r="BF31" s="506">
        <f>17697*3.5%*40</f>
        <v>24775.800000000003</v>
      </c>
      <c r="BG31" s="394">
        <f>U30*30%</f>
        <v>9343.9499999999989</v>
      </c>
      <c r="BH31" s="506">
        <f>S31+T31+U31+V31+AI31+AJ31+AK31+AL31+AM31+AN31+AP31+AR31+AT31+AU31+AV31+AW31+AX31+AY31+AZ31+BD31+BE31+BF31+BC31</f>
        <v>63820.6495</v>
      </c>
      <c r="BI31" s="506">
        <f t="shared" si="10"/>
        <v>63242.547500000001</v>
      </c>
      <c r="BJ31" s="115" t="s">
        <v>300</v>
      </c>
      <c r="BK31" s="590">
        <v>0.38</v>
      </c>
      <c r="BL31" s="597">
        <f t="shared" si="7"/>
        <v>578.10199999999895</v>
      </c>
    </row>
    <row r="32" spans="1:64">
      <c r="A32" s="598">
        <v>7</v>
      </c>
      <c r="B32" s="115" t="s">
        <v>375</v>
      </c>
      <c r="C32" s="115" t="s">
        <v>387</v>
      </c>
      <c r="D32" s="115"/>
      <c r="E32" s="504" t="s">
        <v>377</v>
      </c>
      <c r="F32" s="394">
        <v>9</v>
      </c>
      <c r="G32" s="115" t="s">
        <v>288</v>
      </c>
      <c r="H32" s="115" t="s">
        <v>494</v>
      </c>
      <c r="I32" s="532"/>
      <c r="J32" s="590">
        <f t="shared" si="5"/>
        <v>0.1111111111111111</v>
      </c>
      <c r="K32" s="115">
        <v>17697</v>
      </c>
      <c r="L32" s="599"/>
      <c r="M32" s="116">
        <v>50967</v>
      </c>
      <c r="N32" s="394">
        <v>18</v>
      </c>
      <c r="O32" s="394">
        <v>18</v>
      </c>
      <c r="P32" s="591"/>
      <c r="Q32" s="609">
        <v>2</v>
      </c>
      <c r="R32" s="593"/>
      <c r="S32" s="518"/>
      <c r="T32" s="116">
        <f>M32/N33*Q32</f>
        <v>5663</v>
      </c>
      <c r="U32" s="116"/>
      <c r="V32" s="116"/>
      <c r="W32" s="323">
        <v>0.1</v>
      </c>
      <c r="X32" s="323">
        <v>0.2</v>
      </c>
      <c r="Y32" s="521">
        <v>0.125</v>
      </c>
      <c r="Z32" s="323">
        <v>0.25</v>
      </c>
      <c r="AA32" s="522">
        <v>0.15</v>
      </c>
      <c r="AB32" s="522">
        <v>0.3</v>
      </c>
      <c r="AC32" s="394"/>
      <c r="AD32" s="603"/>
      <c r="AE32" s="593"/>
      <c r="AF32" s="593">
        <v>2</v>
      </c>
      <c r="AG32" s="596"/>
      <c r="AH32" s="595"/>
      <c r="AI32" s="512"/>
      <c r="AJ32" s="511"/>
      <c r="AK32" s="511"/>
      <c r="AL32" s="511">
        <f>K32*X32/N32*AF32</f>
        <v>393.26666666666665</v>
      </c>
      <c r="AM32" s="512"/>
      <c r="AN32" s="511"/>
      <c r="AO32" s="593"/>
      <c r="AP32" s="116"/>
      <c r="AQ32" s="596"/>
      <c r="AR32" s="116"/>
      <c r="AS32" s="116"/>
      <c r="AT32" s="116"/>
      <c r="AU32" s="116"/>
      <c r="AV32" s="532"/>
      <c r="AW32" s="116"/>
      <c r="AX32" s="532"/>
      <c r="AY32" s="115"/>
      <c r="AZ32" s="115"/>
      <c r="BA32" s="116"/>
      <c r="BB32" s="116"/>
      <c r="BC32" s="116"/>
      <c r="BD32" s="608"/>
      <c r="BE32" s="596"/>
      <c r="BF32" s="506"/>
      <c r="BG32" s="394"/>
      <c r="BH32" s="506">
        <f>S32+T32+U32+V32+AI32+AJ32+AK32+AL32+AM32+AN32+AP32+AR32+AT32+AU32+AV32+AW32+AX32+AY32+AZ32+BD32+BE32+BF32+BC32</f>
        <v>6056.2666666666664</v>
      </c>
      <c r="BI32" s="506">
        <f t="shared" si="10"/>
        <v>6056.2666666666664</v>
      </c>
      <c r="BJ32" s="532"/>
      <c r="BK32" s="590"/>
      <c r="BL32" s="597"/>
    </row>
    <row r="33" spans="1:64">
      <c r="A33" s="115">
        <v>8</v>
      </c>
      <c r="B33" s="115" t="s">
        <v>379</v>
      </c>
      <c r="C33" s="115" t="s">
        <v>380</v>
      </c>
      <c r="D33" s="115"/>
      <c r="E33" s="504">
        <v>597885</v>
      </c>
      <c r="F33" s="604">
        <v>9</v>
      </c>
      <c r="G33" s="115" t="s">
        <v>288</v>
      </c>
      <c r="H33" s="115" t="s">
        <v>449</v>
      </c>
      <c r="I33" s="532" t="s">
        <v>374</v>
      </c>
      <c r="J33" s="590">
        <f t="shared" si="5"/>
        <v>1.2777777777777777</v>
      </c>
      <c r="K33" s="115">
        <v>17697</v>
      </c>
      <c r="L33" s="599">
        <v>0.5</v>
      </c>
      <c r="M33" s="116">
        <v>50967</v>
      </c>
      <c r="N33" s="604">
        <v>18</v>
      </c>
      <c r="O33" s="394">
        <v>18</v>
      </c>
      <c r="P33" s="591"/>
      <c r="Q33" s="596">
        <v>23</v>
      </c>
      <c r="R33" s="593"/>
      <c r="S33" s="518">
        <f t="shared" si="1"/>
        <v>0</v>
      </c>
      <c r="T33" s="116">
        <f t="shared" si="2"/>
        <v>65124.5</v>
      </c>
      <c r="U33" s="116">
        <f t="shared" si="11"/>
        <v>0</v>
      </c>
      <c r="V33" s="116">
        <f t="shared" si="4"/>
        <v>16281.125</v>
      </c>
      <c r="W33" s="323">
        <v>0.1</v>
      </c>
      <c r="X33" s="323">
        <v>0.2</v>
      </c>
      <c r="Y33" s="521">
        <v>0.125</v>
      </c>
      <c r="Z33" s="323">
        <v>0.25</v>
      </c>
      <c r="AA33" s="522">
        <v>0.15</v>
      </c>
      <c r="AB33" s="522">
        <v>0.3</v>
      </c>
      <c r="AC33" s="394"/>
      <c r="AD33" s="603"/>
      <c r="AE33" s="593">
        <v>10</v>
      </c>
      <c r="AF33" s="593">
        <v>12</v>
      </c>
      <c r="AG33" s="593"/>
      <c r="AH33" s="607"/>
      <c r="AI33" s="594"/>
      <c r="AJ33" s="511">
        <f t="shared" si="6"/>
        <v>0</v>
      </c>
      <c r="AK33" s="511">
        <f>K33*W33/N33*AE33</f>
        <v>983.16666666666663</v>
      </c>
      <c r="AL33" s="511">
        <f>K33*X33/N33*AF33</f>
        <v>2359.6</v>
      </c>
      <c r="AM33" s="512">
        <f>K33*W33/N33*AG33</f>
        <v>0</v>
      </c>
      <c r="AN33" s="511">
        <f>K33*X33/N33*AH33</f>
        <v>0</v>
      </c>
      <c r="AO33" s="596"/>
      <c r="AP33" s="116"/>
      <c r="AQ33" s="596"/>
      <c r="AR33" s="116"/>
      <c r="AS33" s="116"/>
      <c r="AT33" s="116"/>
      <c r="AU33" s="116"/>
      <c r="AV33" s="532"/>
      <c r="AW33" s="116"/>
      <c r="AX33" s="532"/>
      <c r="AY33" s="115"/>
      <c r="AZ33" s="115"/>
      <c r="BA33" s="115">
        <f>17697*15%/2</f>
        <v>1327.2749999999999</v>
      </c>
      <c r="BB33" s="116">
        <f t="shared" si="8"/>
        <v>9979.1416666666664</v>
      </c>
      <c r="BC33" s="116">
        <f t="shared" si="9"/>
        <v>11306.416666666666</v>
      </c>
      <c r="BD33" s="608"/>
      <c r="BE33" s="596"/>
      <c r="BF33" s="394"/>
      <c r="BG33" s="394"/>
      <c r="BH33" s="506">
        <f>S33+T33+U33+V33+AI33+AJ33+AK33+AL33+AM33+AN33+AP33+AR33+AT33+AU33+AV33+AW33+AX33+AY33+AZ33+BD33+BE33+BF33+BC33</f>
        <v>96054.808333333349</v>
      </c>
      <c r="BI33" s="506">
        <f t="shared" si="10"/>
        <v>94727.53333333334</v>
      </c>
      <c r="BJ33" s="532" t="s">
        <v>374</v>
      </c>
      <c r="BK33" s="590">
        <v>0.5</v>
      </c>
      <c r="BL33" s="597">
        <f t="shared" si="7"/>
        <v>1327.2750000000087</v>
      </c>
    </row>
    <row r="34" spans="1:64">
      <c r="A34" s="115">
        <v>9</v>
      </c>
      <c r="B34" s="610" t="s">
        <v>292</v>
      </c>
      <c r="C34" s="115" t="s">
        <v>489</v>
      </c>
      <c r="D34" s="115"/>
      <c r="E34" s="504">
        <v>829126</v>
      </c>
      <c r="F34" s="394">
        <v>11</v>
      </c>
      <c r="G34" s="115" t="s">
        <v>291</v>
      </c>
      <c r="H34" s="115" t="s">
        <v>486</v>
      </c>
      <c r="I34" s="115"/>
      <c r="J34" s="590">
        <f>(P34+Q34+R34)/18</f>
        <v>0.91666666666666663</v>
      </c>
      <c r="K34" s="115">
        <v>17697</v>
      </c>
      <c r="L34" s="599"/>
      <c r="M34" s="116">
        <v>37695</v>
      </c>
      <c r="N34" s="313">
        <v>18</v>
      </c>
      <c r="O34" s="394">
        <v>18</v>
      </c>
      <c r="P34" s="591">
        <v>2</v>
      </c>
      <c r="Q34" s="592">
        <v>10.5</v>
      </c>
      <c r="R34" s="593">
        <v>4</v>
      </c>
      <c r="S34" s="518">
        <f>M34/O34*P34</f>
        <v>4188.333333333333</v>
      </c>
      <c r="T34" s="116">
        <f t="shared" si="2"/>
        <v>21988.75</v>
      </c>
      <c r="U34" s="116">
        <f t="shared" si="11"/>
        <v>8376.6666666666661</v>
      </c>
      <c r="V34" s="116">
        <f t="shared" si="4"/>
        <v>8638.4375</v>
      </c>
      <c r="W34" s="323">
        <v>0.1</v>
      </c>
      <c r="X34" s="323">
        <v>0.2</v>
      </c>
      <c r="Y34" s="521">
        <v>0.125</v>
      </c>
      <c r="Z34" s="323">
        <v>0.25</v>
      </c>
      <c r="AA34" s="522">
        <v>0.15</v>
      </c>
      <c r="AB34" s="522">
        <v>0.3</v>
      </c>
      <c r="AC34" s="394"/>
      <c r="AD34" s="603"/>
      <c r="AE34" s="593"/>
      <c r="AF34" s="593"/>
      <c r="AG34" s="593"/>
      <c r="AH34" s="116"/>
      <c r="AJ34" s="511">
        <f t="shared" si="6"/>
        <v>0</v>
      </c>
      <c r="AK34" s="511">
        <f>K34*Y34/N34*AE34</f>
        <v>0</v>
      </c>
      <c r="AL34" s="511">
        <f>K34*Z34/N34*AF34</f>
        <v>0</v>
      </c>
      <c r="AM34" s="512">
        <f>K34*Y34/N34*AG34</f>
        <v>0</v>
      </c>
      <c r="AN34" s="511">
        <f>K34*Z34/N34*AH34</f>
        <v>0</v>
      </c>
      <c r="AO34" s="593"/>
      <c r="AP34" s="511">
        <f>K34*Z34/O34*AO34</f>
        <v>0</v>
      </c>
      <c r="AQ34" s="596"/>
      <c r="AR34" s="510">
        <f>K34*Z34/N34*AQ34</f>
        <v>0</v>
      </c>
      <c r="AS34" s="116"/>
      <c r="AT34" s="116"/>
      <c r="AU34" s="116"/>
      <c r="AV34" s="115"/>
      <c r="AW34" s="116">
        <v>2655</v>
      </c>
      <c r="AX34" s="532"/>
      <c r="AY34" s="115"/>
      <c r="AZ34" s="115"/>
      <c r="BA34" s="115"/>
      <c r="BB34" s="116">
        <f t="shared" si="8"/>
        <v>0</v>
      </c>
      <c r="BC34" s="116">
        <f t="shared" si="9"/>
        <v>0</v>
      </c>
      <c r="BD34" s="608"/>
      <c r="BE34" s="596"/>
      <c r="BF34" s="394"/>
      <c r="BG34" s="394"/>
      <c r="BH34" s="506">
        <f>S34+T34+U34+V34+AK34+AL34+AM34+AN34+AP34+AR34+AT34+AU34+AV34+AW34+AX34+AY34+AZ34+BD34+BE34+BF34+BC34</f>
        <v>45847.1875</v>
      </c>
      <c r="BI34" s="506">
        <f t="shared" si="10"/>
        <v>45847.1875</v>
      </c>
      <c r="BJ34" s="115"/>
      <c r="BK34" s="590">
        <v>0.33</v>
      </c>
      <c r="BL34" s="597">
        <f t="shared" si="7"/>
        <v>0</v>
      </c>
    </row>
    <row r="35" spans="1:64">
      <c r="A35" s="598">
        <v>10</v>
      </c>
      <c r="B35" s="480" t="s">
        <v>383</v>
      </c>
      <c r="C35" s="115" t="s">
        <v>384</v>
      </c>
      <c r="D35" s="115"/>
      <c r="E35" s="504">
        <v>257045</v>
      </c>
      <c r="F35" s="588">
        <v>9</v>
      </c>
      <c r="G35" s="115" t="s">
        <v>288</v>
      </c>
      <c r="H35" s="480" t="s">
        <v>495</v>
      </c>
      <c r="I35" s="115"/>
      <c r="J35" s="590">
        <f t="shared" si="5"/>
        <v>1.1666666666666667</v>
      </c>
      <c r="K35" s="115">
        <v>17697</v>
      </c>
      <c r="L35" s="599"/>
      <c r="M35" s="116">
        <v>44773</v>
      </c>
      <c r="N35" s="588">
        <v>18</v>
      </c>
      <c r="O35" s="394">
        <v>18</v>
      </c>
      <c r="P35" s="611"/>
      <c r="Q35" s="612">
        <v>15</v>
      </c>
      <c r="R35" s="613">
        <v>6</v>
      </c>
      <c r="S35" s="116">
        <f t="shared" si="1"/>
        <v>0</v>
      </c>
      <c r="T35" s="116">
        <f t="shared" si="2"/>
        <v>37310.833333333328</v>
      </c>
      <c r="U35" s="116">
        <f t="shared" si="11"/>
        <v>14924.333333333332</v>
      </c>
      <c r="V35" s="116">
        <f t="shared" si="4"/>
        <v>13058.791666666664</v>
      </c>
      <c r="W35" s="323">
        <v>0.1</v>
      </c>
      <c r="X35" s="323">
        <v>0.2</v>
      </c>
      <c r="Y35" s="521">
        <v>0.125</v>
      </c>
      <c r="Z35" s="323">
        <v>0.25</v>
      </c>
      <c r="AA35" s="522">
        <v>0.15</v>
      </c>
      <c r="AB35" s="522">
        <v>0.3</v>
      </c>
      <c r="AC35" s="394"/>
      <c r="AD35" s="603"/>
      <c r="AE35" s="592"/>
      <c r="AF35" s="593"/>
      <c r="AG35" s="593"/>
      <c r="AH35" s="607"/>
      <c r="AI35" s="594"/>
      <c r="AJ35" s="511">
        <f t="shared" si="6"/>
        <v>0</v>
      </c>
      <c r="AK35" s="511">
        <f>K35*W35/N35*AE35</f>
        <v>0</v>
      </c>
      <c r="AL35" s="511">
        <f>K35*X35/N35*AF35</f>
        <v>0</v>
      </c>
      <c r="AM35" s="512">
        <f>K35*W35/N35*AG35</f>
        <v>0</v>
      </c>
      <c r="AN35" s="511">
        <f>K35*X35/N35*AH35</f>
        <v>0</v>
      </c>
      <c r="AO35" s="596"/>
      <c r="AP35" s="511">
        <f>K35*Z35/O35*AO35</f>
        <v>0</v>
      </c>
      <c r="AQ35" s="596"/>
      <c r="AR35" s="510">
        <f>K35*Z35/N35*AQ35</f>
        <v>0</v>
      </c>
      <c r="AS35" s="116"/>
      <c r="AT35" s="116"/>
      <c r="AU35" s="116"/>
      <c r="AV35" s="532"/>
      <c r="AW35" s="116"/>
      <c r="AX35" s="532"/>
      <c r="AY35" s="115"/>
      <c r="AZ35" s="115"/>
      <c r="BA35" s="115"/>
      <c r="BB35" s="116">
        <f t="shared" si="8"/>
        <v>0</v>
      </c>
      <c r="BC35" s="116">
        <f t="shared" si="9"/>
        <v>0</v>
      </c>
      <c r="BD35" s="596">
        <v>3982</v>
      </c>
      <c r="BE35" s="596"/>
      <c r="BF35" s="394"/>
      <c r="BG35" s="394"/>
      <c r="BH35" s="506">
        <f t="shared" ref="BH35:BH46" si="12">S35+T35+U35+V35+AI35+AJ35+AK35+AL35+AM35+AN35+AP35+AR35+AT35+AU35+AV35+AW35+AX35+AY35+AZ35+BD35+BE35+BF35+BC35</f>
        <v>69275.958333333314</v>
      </c>
      <c r="BI35" s="506">
        <f t="shared" si="10"/>
        <v>69275.958333333314</v>
      </c>
      <c r="BJ35" s="115"/>
      <c r="BK35" s="590">
        <v>1</v>
      </c>
      <c r="BL35" s="597">
        <f t="shared" si="7"/>
        <v>0</v>
      </c>
    </row>
    <row r="36" spans="1:64">
      <c r="A36" s="115">
        <v>11</v>
      </c>
      <c r="B36" s="115" t="s">
        <v>498</v>
      </c>
      <c r="C36" s="115" t="s">
        <v>385</v>
      </c>
      <c r="D36" s="115"/>
      <c r="E36" s="504">
        <v>96766</v>
      </c>
      <c r="F36" s="604">
        <v>9</v>
      </c>
      <c r="G36" s="115" t="s">
        <v>288</v>
      </c>
      <c r="H36" s="115" t="s">
        <v>496</v>
      </c>
      <c r="I36" s="532" t="s">
        <v>374</v>
      </c>
      <c r="J36" s="590">
        <f t="shared" si="5"/>
        <v>1.4444444444444444</v>
      </c>
      <c r="K36" s="115">
        <v>17697</v>
      </c>
      <c r="L36" s="599">
        <v>0.3</v>
      </c>
      <c r="M36" s="116">
        <v>49198</v>
      </c>
      <c r="N36" s="604">
        <v>18</v>
      </c>
      <c r="O36" s="394">
        <v>18</v>
      </c>
      <c r="P36" s="591">
        <v>5</v>
      </c>
      <c r="Q36" s="596">
        <v>16</v>
      </c>
      <c r="R36" s="593">
        <v>5</v>
      </c>
      <c r="S36" s="116">
        <f t="shared" si="1"/>
        <v>13666.111111111111</v>
      </c>
      <c r="T36" s="116">
        <f t="shared" si="2"/>
        <v>43731.555555555555</v>
      </c>
      <c r="U36" s="116">
        <f t="shared" si="11"/>
        <v>13666.111111111111</v>
      </c>
      <c r="V36" s="116">
        <f t="shared" si="4"/>
        <v>17765.944444444445</v>
      </c>
      <c r="W36" s="323">
        <v>0.1</v>
      </c>
      <c r="X36" s="323">
        <v>0.2</v>
      </c>
      <c r="Y36" s="521">
        <v>0.125</v>
      </c>
      <c r="Z36" s="323">
        <v>0.25</v>
      </c>
      <c r="AA36" s="522">
        <v>0.15</v>
      </c>
      <c r="AB36" s="522">
        <v>0.3</v>
      </c>
      <c r="AC36" s="394"/>
      <c r="AD36" s="603">
        <v>5</v>
      </c>
      <c r="AE36" s="593">
        <v>6</v>
      </c>
      <c r="AF36" s="593">
        <v>10</v>
      </c>
      <c r="AG36" s="593">
        <v>4</v>
      </c>
      <c r="AH36" s="607"/>
      <c r="AI36" s="512">
        <f>K36*Y36/O36*AC36</f>
        <v>0</v>
      </c>
      <c r="AJ36" s="511">
        <f t="shared" si="6"/>
        <v>983.16666666666663</v>
      </c>
      <c r="AK36" s="511">
        <f>K36*Y36/N36*AE36</f>
        <v>737.375</v>
      </c>
      <c r="AL36" s="511">
        <f>K36*Z36/N36*AF36</f>
        <v>2457.9166666666665</v>
      </c>
      <c r="AM36" s="512">
        <f>K36*Y36/N36*AG36</f>
        <v>491.58333333333331</v>
      </c>
      <c r="AN36" s="511">
        <f>K36*Z36/N36*AH36</f>
        <v>0</v>
      </c>
      <c r="AO36" s="614">
        <v>5</v>
      </c>
      <c r="AP36" s="511">
        <f>K36*Z36/O36*AO36</f>
        <v>1228.9583333333333</v>
      </c>
      <c r="AQ36" s="614">
        <v>16</v>
      </c>
      <c r="AR36" s="510">
        <f>K36*Z36/N36*AQ36</f>
        <v>3932.6666666666665</v>
      </c>
      <c r="AS36" s="515">
        <v>5</v>
      </c>
      <c r="AT36" s="510">
        <f>K36*Z36/N36*AS36</f>
        <v>1228.9583333333333</v>
      </c>
      <c r="AU36" s="116"/>
      <c r="AV36" s="532"/>
      <c r="AW36" s="116"/>
      <c r="AX36" s="532"/>
      <c r="AY36" s="115"/>
      <c r="AZ36" s="115"/>
      <c r="BA36" s="116">
        <f>17697*10%/2</f>
        <v>884.85</v>
      </c>
      <c r="BB36" s="116">
        <f t="shared" si="8"/>
        <v>6783.8499999999995</v>
      </c>
      <c r="BC36" s="116">
        <f t="shared" si="9"/>
        <v>7668.7</v>
      </c>
      <c r="BD36" s="608"/>
      <c r="BE36" s="596"/>
      <c r="BF36" s="394"/>
      <c r="BG36" s="394">
        <f>(S36+T36+U36)*30%</f>
        <v>21319.133333333335</v>
      </c>
      <c r="BH36" s="506">
        <f t="shared" si="12"/>
        <v>107559.04722222222</v>
      </c>
      <c r="BI36" s="506">
        <f>T36+U36+V36+S36+AJ36+AK36+AL36+AM36+AN36+AO36+AQ36+AT36+AU36+AV36+AW36+AX36+AY36+AZ36+BB36+BE36+BF36+BD36</f>
        <v>101533.57222222222</v>
      </c>
      <c r="BJ36" s="532" t="s">
        <v>300</v>
      </c>
      <c r="BK36" s="590">
        <v>1.1100000000000001</v>
      </c>
      <c r="BL36" s="597">
        <f t="shared" si="7"/>
        <v>6025.4749999999913</v>
      </c>
    </row>
    <row r="37" spans="1:64">
      <c r="A37" s="598">
        <v>12</v>
      </c>
      <c r="B37" s="610" t="s">
        <v>297</v>
      </c>
      <c r="C37" s="115" t="s">
        <v>356</v>
      </c>
      <c r="D37" s="115"/>
      <c r="E37" s="504">
        <v>203359</v>
      </c>
      <c r="F37" s="615">
        <v>9</v>
      </c>
      <c r="G37" s="610" t="s">
        <v>288</v>
      </c>
      <c r="H37" s="610" t="s">
        <v>481</v>
      </c>
      <c r="I37" s="561" t="s">
        <v>300</v>
      </c>
      <c r="J37" s="590">
        <f t="shared" si="5"/>
        <v>0.5</v>
      </c>
      <c r="K37" s="115">
        <v>17697</v>
      </c>
      <c r="L37" s="599">
        <v>0.3</v>
      </c>
      <c r="M37" s="116">
        <v>48313</v>
      </c>
      <c r="N37" s="313">
        <v>18</v>
      </c>
      <c r="O37" s="394">
        <v>18</v>
      </c>
      <c r="P37" s="616"/>
      <c r="Q37" s="617">
        <v>5</v>
      </c>
      <c r="R37" s="618">
        <v>4</v>
      </c>
      <c r="S37" s="116">
        <f t="shared" si="1"/>
        <v>0</v>
      </c>
      <c r="T37" s="116">
        <f t="shared" si="2"/>
        <v>13420.277777777777</v>
      </c>
      <c r="U37" s="116">
        <f t="shared" si="11"/>
        <v>10736.222222222223</v>
      </c>
      <c r="V37" s="116">
        <f t="shared" si="4"/>
        <v>6039.125</v>
      </c>
      <c r="W37" s="323">
        <v>0.1</v>
      </c>
      <c r="X37" s="323">
        <v>0.2</v>
      </c>
      <c r="Y37" s="521">
        <v>0.125</v>
      </c>
      <c r="Z37" s="323">
        <v>0.25</v>
      </c>
      <c r="AA37" s="522">
        <v>0.15</v>
      </c>
      <c r="AB37" s="522">
        <v>0.3</v>
      </c>
      <c r="AC37" s="394"/>
      <c r="AD37" s="603"/>
      <c r="AE37" s="593">
        <v>2</v>
      </c>
      <c r="AF37" s="593">
        <v>2</v>
      </c>
      <c r="AG37" s="593">
        <v>4</v>
      </c>
      <c r="AH37" s="607"/>
      <c r="AI37" s="594"/>
      <c r="AJ37" s="511">
        <f t="shared" si="6"/>
        <v>0</v>
      </c>
      <c r="AK37" s="511">
        <f>K37*W37/N37*AE37</f>
        <v>196.63333333333333</v>
      </c>
      <c r="AL37" s="511">
        <f>K37*X37/N37*AF37</f>
        <v>393.26666666666665</v>
      </c>
      <c r="AM37" s="512">
        <f>K37*W37/N37*AG37</f>
        <v>393.26666666666665</v>
      </c>
      <c r="AN37" s="511">
        <f>K37*X37/N37*AH37</f>
        <v>0</v>
      </c>
      <c r="AO37" s="593"/>
      <c r="AP37" s="116"/>
      <c r="AQ37" s="596"/>
      <c r="AR37" s="116"/>
      <c r="AS37" s="116"/>
      <c r="AT37" s="510">
        <f t="shared" ref="AT37:AT44" si="13">K37*Z37/N37*AS37</f>
        <v>0</v>
      </c>
      <c r="AU37" s="115"/>
      <c r="AV37" s="532"/>
      <c r="AW37" s="116"/>
      <c r="AX37" s="532"/>
      <c r="AY37" s="115"/>
      <c r="AZ37" s="115"/>
      <c r="BA37" s="115">
        <f>17697*10%/18*12</f>
        <v>1179.8</v>
      </c>
      <c r="BB37" s="116">
        <f t="shared" si="8"/>
        <v>1474.7499999999998</v>
      </c>
      <c r="BC37" s="116">
        <f t="shared" si="9"/>
        <v>2654.5499999999997</v>
      </c>
      <c r="BD37" s="608"/>
      <c r="BE37" s="596"/>
      <c r="BF37" s="394"/>
      <c r="BG37" s="394"/>
      <c r="BH37" s="506">
        <f t="shared" si="12"/>
        <v>33833.341666666667</v>
      </c>
      <c r="BI37" s="506">
        <f t="shared" ref="BI37:BI42" si="14">T37+U37+V37+S37+AJ37+AK37+AL37+AM37+AN37+AO37+AQ37+AS37+AU37+AV37+AW37+AX37+AY37+AZ37+BB37+BE37+BF37+BD37</f>
        <v>32653.541666666668</v>
      </c>
      <c r="BJ37" s="561" t="s">
        <v>300</v>
      </c>
      <c r="BK37" s="590">
        <v>0.61</v>
      </c>
      <c r="BL37" s="597">
        <f t="shared" si="7"/>
        <v>1179.7999999999993</v>
      </c>
    </row>
    <row r="38" spans="1:64">
      <c r="A38" s="115">
        <v>13</v>
      </c>
      <c r="B38" s="115" t="s">
        <v>499</v>
      </c>
      <c r="C38" s="115" t="s">
        <v>497</v>
      </c>
      <c r="D38" s="504" t="s">
        <v>386</v>
      </c>
      <c r="E38" s="504">
        <v>722397</v>
      </c>
      <c r="F38" s="604">
        <v>9</v>
      </c>
      <c r="G38" s="115" t="s">
        <v>288</v>
      </c>
      <c r="H38" s="115" t="s">
        <v>484</v>
      </c>
      <c r="I38" s="523" t="s">
        <v>300</v>
      </c>
      <c r="J38" s="590">
        <f t="shared" si="5"/>
        <v>0.5</v>
      </c>
      <c r="K38" s="115">
        <v>17697</v>
      </c>
      <c r="L38" s="599">
        <v>0.3</v>
      </c>
      <c r="M38" s="116">
        <v>50967</v>
      </c>
      <c r="N38" s="589">
        <v>18</v>
      </c>
      <c r="O38" s="394">
        <v>18</v>
      </c>
      <c r="P38" s="591"/>
      <c r="Q38" s="596">
        <v>5</v>
      </c>
      <c r="R38" s="593">
        <v>4</v>
      </c>
      <c r="S38" s="518">
        <f t="shared" si="1"/>
        <v>0</v>
      </c>
      <c r="T38" s="116">
        <f t="shared" si="2"/>
        <v>14157.5</v>
      </c>
      <c r="U38" s="116">
        <f t="shared" si="11"/>
        <v>11326</v>
      </c>
      <c r="V38" s="116">
        <f t="shared" si="4"/>
        <v>6370.875</v>
      </c>
      <c r="W38" s="323">
        <v>0.1</v>
      </c>
      <c r="X38" s="323">
        <v>0.2</v>
      </c>
      <c r="Y38" s="521">
        <v>0.125</v>
      </c>
      <c r="Z38" s="323">
        <v>0.25</v>
      </c>
      <c r="AA38" s="522">
        <v>0.15</v>
      </c>
      <c r="AB38" s="522">
        <v>0.3</v>
      </c>
      <c r="AC38" s="394"/>
      <c r="AD38" s="603"/>
      <c r="AE38" s="593"/>
      <c r="AF38" s="593">
        <v>2</v>
      </c>
      <c r="AG38" s="593"/>
      <c r="AH38" s="607"/>
      <c r="AI38" s="594"/>
      <c r="AJ38" s="511">
        <f t="shared" si="6"/>
        <v>0</v>
      </c>
      <c r="AK38" s="115"/>
      <c r="AL38" s="511">
        <f>K38*X38/N38*AF38</f>
        <v>393.26666666666665</v>
      </c>
      <c r="AM38" s="532"/>
      <c r="AN38" s="115"/>
      <c r="AO38" s="593"/>
      <c r="AP38" s="116"/>
      <c r="AQ38" s="596"/>
      <c r="AR38" s="116"/>
      <c r="AS38" s="116"/>
      <c r="AT38" s="510">
        <f t="shared" si="13"/>
        <v>0</v>
      </c>
      <c r="AU38" s="115"/>
      <c r="AV38" s="532"/>
      <c r="AW38" s="116"/>
      <c r="AX38" s="532"/>
      <c r="AY38" s="115"/>
      <c r="AZ38" s="115"/>
      <c r="BA38" s="116">
        <f>17697*10%/2</f>
        <v>884.85</v>
      </c>
      <c r="BB38" s="116">
        <f t="shared" si="8"/>
        <v>1769.6999999999998</v>
      </c>
      <c r="BC38" s="116">
        <f t="shared" si="9"/>
        <v>2654.5499999999997</v>
      </c>
      <c r="BD38" s="596">
        <f>K38*20%</f>
        <v>3539.4</v>
      </c>
      <c r="BE38" s="596"/>
      <c r="BF38" s="394"/>
      <c r="BG38" s="394"/>
      <c r="BH38" s="506">
        <f t="shared" si="12"/>
        <v>38441.591666666667</v>
      </c>
      <c r="BI38" s="506">
        <f t="shared" si="14"/>
        <v>37556.741666666669</v>
      </c>
      <c r="BJ38" s="523" t="s">
        <v>300</v>
      </c>
      <c r="BK38" s="590">
        <v>0.56000000000000005</v>
      </c>
      <c r="BL38" s="597">
        <f t="shared" si="7"/>
        <v>884.84999999999854</v>
      </c>
    </row>
    <row r="39" spans="1:64">
      <c r="A39" s="115">
        <v>14</v>
      </c>
      <c r="B39" s="115" t="s">
        <v>295</v>
      </c>
      <c r="C39" s="115" t="s">
        <v>360</v>
      </c>
      <c r="D39" s="115"/>
      <c r="E39" s="504">
        <v>142825</v>
      </c>
      <c r="F39" s="589">
        <v>9</v>
      </c>
      <c r="G39" s="115" t="s">
        <v>288</v>
      </c>
      <c r="H39" s="115" t="s">
        <v>421</v>
      </c>
      <c r="I39" s="523" t="s">
        <v>300</v>
      </c>
      <c r="J39" s="590">
        <f t="shared" si="5"/>
        <v>0.5</v>
      </c>
      <c r="K39" s="115">
        <v>17697</v>
      </c>
      <c r="L39" s="599">
        <v>0.3</v>
      </c>
      <c r="M39" s="116">
        <v>45658</v>
      </c>
      <c r="N39" s="394">
        <v>18</v>
      </c>
      <c r="O39" s="394">
        <v>18</v>
      </c>
      <c r="P39" s="591">
        <v>2</v>
      </c>
      <c r="Q39" s="592">
        <v>5</v>
      </c>
      <c r="R39" s="593">
        <v>2</v>
      </c>
      <c r="S39" s="518">
        <f t="shared" si="1"/>
        <v>5073.1111111111113</v>
      </c>
      <c r="T39" s="116">
        <f t="shared" si="2"/>
        <v>12682.777777777777</v>
      </c>
      <c r="U39" s="116">
        <f t="shared" ref="U39:U46" si="15">M39/N39*R39</f>
        <v>5073.1111111111113</v>
      </c>
      <c r="V39" s="116">
        <f t="shared" si="4"/>
        <v>5707.25</v>
      </c>
      <c r="W39" s="323">
        <v>0.1</v>
      </c>
      <c r="X39" s="323">
        <v>0.2</v>
      </c>
      <c r="Y39" s="521">
        <v>0.125</v>
      </c>
      <c r="Z39" s="323">
        <v>0.25</v>
      </c>
      <c r="AA39" s="522">
        <v>0.15</v>
      </c>
      <c r="AB39" s="522">
        <v>0.3</v>
      </c>
      <c r="AC39" s="394"/>
      <c r="AD39" s="619"/>
      <c r="AE39" s="593"/>
      <c r="AF39" s="593"/>
      <c r="AG39" s="593"/>
      <c r="AH39" s="607"/>
      <c r="AI39" s="594"/>
      <c r="AJ39" s="511">
        <f t="shared" si="6"/>
        <v>0</v>
      </c>
      <c r="AK39" s="115"/>
      <c r="AL39" s="116"/>
      <c r="AM39" s="532"/>
      <c r="AN39" s="115"/>
      <c r="AO39" s="593"/>
      <c r="AP39" s="116"/>
      <c r="AQ39" s="596"/>
      <c r="AR39" s="116"/>
      <c r="AS39" s="116"/>
      <c r="AT39" s="510">
        <f t="shared" si="13"/>
        <v>0</v>
      </c>
      <c r="AU39" s="115"/>
      <c r="AV39" s="532"/>
      <c r="AW39" s="116"/>
      <c r="AX39" s="532">
        <v>5309</v>
      </c>
      <c r="AY39" s="115"/>
      <c r="AZ39" s="115"/>
      <c r="BA39" s="116">
        <f>17697*10%/18*9</f>
        <v>884.84999999999991</v>
      </c>
      <c r="BB39" s="116">
        <f t="shared" si="8"/>
        <v>1769.6999999999998</v>
      </c>
      <c r="BC39" s="116">
        <f t="shared" si="9"/>
        <v>2654.5499999999997</v>
      </c>
      <c r="BD39" s="596"/>
      <c r="BE39" s="596"/>
      <c r="BF39" s="394"/>
      <c r="BG39" s="394"/>
      <c r="BH39" s="506">
        <f t="shared" si="12"/>
        <v>36499.800000000003</v>
      </c>
      <c r="BI39" s="506">
        <f t="shared" si="14"/>
        <v>35614.949999999997</v>
      </c>
      <c r="BJ39" s="523"/>
      <c r="BK39" s="590">
        <v>0.39</v>
      </c>
      <c r="BL39" s="597">
        <f t="shared" si="7"/>
        <v>884.85000000000582</v>
      </c>
    </row>
    <row r="40" spans="1:64">
      <c r="A40" s="598">
        <v>15</v>
      </c>
      <c r="B40" s="115" t="s">
        <v>500</v>
      </c>
      <c r="C40" s="115" t="s">
        <v>501</v>
      </c>
      <c r="D40" s="115"/>
      <c r="E40" s="504" t="s">
        <v>502</v>
      </c>
      <c r="F40" s="589">
        <v>9</v>
      </c>
      <c r="G40" s="115" t="s">
        <v>288</v>
      </c>
      <c r="H40" s="115" t="s">
        <v>503</v>
      </c>
      <c r="I40" s="115" t="s">
        <v>374</v>
      </c>
      <c r="J40" s="590">
        <f t="shared" si="5"/>
        <v>1.3055555555555556</v>
      </c>
      <c r="K40" s="115">
        <v>17697</v>
      </c>
      <c r="L40" s="599">
        <v>0.5</v>
      </c>
      <c r="M40" s="116">
        <v>50967</v>
      </c>
      <c r="N40" s="394">
        <v>18</v>
      </c>
      <c r="O40" s="394">
        <v>18</v>
      </c>
      <c r="P40" s="591"/>
      <c r="Q40" s="592">
        <v>19.5</v>
      </c>
      <c r="R40" s="593">
        <v>4</v>
      </c>
      <c r="S40" s="518">
        <f t="shared" si="1"/>
        <v>0</v>
      </c>
      <c r="T40" s="116">
        <f t="shared" si="2"/>
        <v>55214.25</v>
      </c>
      <c r="U40" s="116">
        <f t="shared" si="15"/>
        <v>11326</v>
      </c>
      <c r="V40" s="116">
        <f t="shared" si="4"/>
        <v>16635.0625</v>
      </c>
      <c r="W40" s="323">
        <v>0.1</v>
      </c>
      <c r="X40" s="323">
        <v>0.2</v>
      </c>
      <c r="Y40" s="521">
        <v>0.125</v>
      </c>
      <c r="Z40" s="323">
        <v>0.25</v>
      </c>
      <c r="AA40" s="522">
        <v>0.15</v>
      </c>
      <c r="AB40" s="522">
        <v>0.3</v>
      </c>
      <c r="AC40" s="394"/>
      <c r="AD40" s="603"/>
      <c r="AE40" s="593">
        <v>3</v>
      </c>
      <c r="AF40" s="593">
        <v>8</v>
      </c>
      <c r="AG40" s="593">
        <v>1</v>
      </c>
      <c r="AH40" s="607"/>
      <c r="AI40" s="594"/>
      <c r="AJ40" s="511">
        <f t="shared" si="6"/>
        <v>0</v>
      </c>
      <c r="AK40" s="511">
        <f>K40*Y40/N40*AE40</f>
        <v>368.6875</v>
      </c>
      <c r="AL40" s="511">
        <f>K40*Z40/N40*AF40</f>
        <v>1966.3333333333333</v>
      </c>
      <c r="AM40" s="512">
        <f>K40*Y40/N40*AG40</f>
        <v>122.89583333333333</v>
      </c>
      <c r="AN40" s="511">
        <f>K40*Z40/N40*AH40</f>
        <v>0</v>
      </c>
      <c r="AO40" s="593"/>
      <c r="AP40" s="116"/>
      <c r="AQ40" s="596"/>
      <c r="AR40" s="116"/>
      <c r="AS40" s="116"/>
      <c r="AT40" s="510">
        <f t="shared" si="13"/>
        <v>0</v>
      </c>
      <c r="AU40" s="115"/>
      <c r="AV40" s="532"/>
      <c r="AW40" s="116"/>
      <c r="AX40" s="532">
        <v>5309</v>
      </c>
      <c r="AY40" s="115"/>
      <c r="AZ40" s="115"/>
      <c r="BA40" s="115">
        <f>17697*15%/18*25</f>
        <v>3686.875</v>
      </c>
      <c r="BB40" s="116">
        <f t="shared" si="8"/>
        <v>7865.3333333333321</v>
      </c>
      <c r="BC40" s="116">
        <f t="shared" si="9"/>
        <v>11552.208333333332</v>
      </c>
      <c r="BD40" s="596"/>
      <c r="BE40" s="593">
        <v>3539</v>
      </c>
      <c r="BF40" s="394"/>
      <c r="BG40" s="394">
        <f>(T40+U40)*30%</f>
        <v>19962.075000000001</v>
      </c>
      <c r="BH40" s="506">
        <f t="shared" si="12"/>
        <v>106033.43749999999</v>
      </c>
      <c r="BI40" s="506">
        <f t="shared" si="14"/>
        <v>102346.56249999999</v>
      </c>
      <c r="BJ40" s="115" t="s">
        <v>374</v>
      </c>
      <c r="BK40" s="590">
        <v>0.44</v>
      </c>
      <c r="BL40" s="597">
        <f t="shared" si="7"/>
        <v>3686.875</v>
      </c>
    </row>
    <row r="41" spans="1:64">
      <c r="A41" s="598">
        <v>16</v>
      </c>
      <c r="B41" s="115" t="s">
        <v>188</v>
      </c>
      <c r="C41" s="115" t="s">
        <v>189</v>
      </c>
      <c r="D41" s="115"/>
      <c r="E41" s="504" t="s">
        <v>191</v>
      </c>
      <c r="F41" s="620" t="s">
        <v>389</v>
      </c>
      <c r="G41" s="115" t="s">
        <v>288</v>
      </c>
      <c r="H41" s="115" t="s">
        <v>233</v>
      </c>
      <c r="I41" s="115"/>
      <c r="J41" s="590">
        <f t="shared" si="5"/>
        <v>1.4444444444444444</v>
      </c>
      <c r="K41" s="115">
        <v>17697</v>
      </c>
      <c r="L41" s="599"/>
      <c r="M41" s="116">
        <v>44773</v>
      </c>
      <c r="N41" s="394">
        <v>18</v>
      </c>
      <c r="O41" s="394">
        <v>18</v>
      </c>
      <c r="P41" s="591"/>
      <c r="Q41" s="592">
        <v>21</v>
      </c>
      <c r="R41" s="593">
        <v>5</v>
      </c>
      <c r="S41" s="518"/>
      <c r="T41" s="116">
        <f t="shared" si="2"/>
        <v>52235.166666666664</v>
      </c>
      <c r="U41" s="116">
        <f t="shared" si="15"/>
        <v>12436.944444444443</v>
      </c>
      <c r="V41" s="116">
        <f t="shared" si="4"/>
        <v>16168.027777777777</v>
      </c>
      <c r="W41" s="323">
        <v>0.1</v>
      </c>
      <c r="X41" s="323">
        <v>0.2</v>
      </c>
      <c r="Y41" s="521">
        <v>0.125</v>
      </c>
      <c r="Z41" s="323">
        <v>0.25</v>
      </c>
      <c r="AA41" s="522">
        <v>0.15</v>
      </c>
      <c r="AB41" s="522">
        <v>0.3</v>
      </c>
      <c r="AC41" s="394"/>
      <c r="AD41" s="603"/>
      <c r="AE41" s="593"/>
      <c r="AF41" s="593"/>
      <c r="AG41" s="593"/>
      <c r="AH41" s="607"/>
      <c r="AI41" s="512">
        <f>K41*Y41/O41*AC41</f>
        <v>0</v>
      </c>
      <c r="AJ41" s="511">
        <f t="shared" si="6"/>
        <v>0</v>
      </c>
      <c r="AK41" s="511"/>
      <c r="AL41" s="511"/>
      <c r="AM41" s="512"/>
      <c r="AN41" s="511"/>
      <c r="AO41" s="614"/>
      <c r="AP41" s="511"/>
      <c r="AQ41" s="614"/>
      <c r="AR41" s="510">
        <f>K41*Z41/N41*AQ41</f>
        <v>0</v>
      </c>
      <c r="AS41" s="489"/>
      <c r="AT41" s="510">
        <f t="shared" si="13"/>
        <v>0</v>
      </c>
      <c r="AU41" s="115"/>
      <c r="AV41" s="532"/>
      <c r="AW41" s="116">
        <v>2655</v>
      </c>
      <c r="AX41" s="532"/>
      <c r="AY41" s="115"/>
      <c r="AZ41" s="115"/>
      <c r="BA41" s="115"/>
      <c r="BB41" s="116">
        <f t="shared" si="8"/>
        <v>0</v>
      </c>
      <c r="BC41" s="116">
        <f t="shared" si="9"/>
        <v>0</v>
      </c>
      <c r="BD41" s="596"/>
      <c r="BE41" s="593">
        <v>3539</v>
      </c>
      <c r="BF41" s="394"/>
      <c r="BG41" s="394"/>
      <c r="BH41" s="506">
        <f t="shared" si="12"/>
        <v>87034.138888888891</v>
      </c>
      <c r="BI41" s="506">
        <f t="shared" si="14"/>
        <v>87034.138888888891</v>
      </c>
      <c r="BJ41" s="115"/>
      <c r="BK41" s="590">
        <v>0.97</v>
      </c>
      <c r="BL41" s="597">
        <f t="shared" si="7"/>
        <v>0</v>
      </c>
    </row>
    <row r="42" spans="1:64">
      <c r="A42" s="115">
        <v>17</v>
      </c>
      <c r="B42" s="115" t="s">
        <v>391</v>
      </c>
      <c r="C42" s="115" t="s">
        <v>504</v>
      </c>
      <c r="D42" s="115"/>
      <c r="E42" s="504">
        <v>315226</v>
      </c>
      <c r="F42" s="589">
        <v>11</v>
      </c>
      <c r="G42" s="115" t="s">
        <v>291</v>
      </c>
      <c r="H42" s="115" t="s">
        <v>505</v>
      </c>
      <c r="I42" s="115"/>
      <c r="J42" s="590">
        <f t="shared" si="5"/>
        <v>1.2222222222222223</v>
      </c>
      <c r="K42" s="115">
        <v>17697</v>
      </c>
      <c r="L42" s="599"/>
      <c r="M42" s="116">
        <v>39110</v>
      </c>
      <c r="N42" s="394">
        <v>18</v>
      </c>
      <c r="O42" s="394">
        <v>18</v>
      </c>
      <c r="P42" s="591">
        <v>22</v>
      </c>
      <c r="Q42" s="596"/>
      <c r="R42" s="593"/>
      <c r="S42" s="518">
        <f>M42/O42*P42</f>
        <v>47801.111111111109</v>
      </c>
      <c r="T42" s="116">
        <f t="shared" si="2"/>
        <v>0</v>
      </c>
      <c r="U42" s="116">
        <f t="shared" si="15"/>
        <v>0</v>
      </c>
      <c r="V42" s="116">
        <f t="shared" si="4"/>
        <v>11950.277777777777</v>
      </c>
      <c r="W42" s="323">
        <v>0.1</v>
      </c>
      <c r="X42" s="323">
        <v>0.2</v>
      </c>
      <c r="Y42" s="521">
        <v>0.125</v>
      </c>
      <c r="Z42" s="323">
        <v>0.25</v>
      </c>
      <c r="AA42" s="522">
        <v>0.15</v>
      </c>
      <c r="AB42" s="522">
        <v>0.3</v>
      </c>
      <c r="AC42" s="394"/>
      <c r="AD42" s="603">
        <v>20</v>
      </c>
      <c r="AE42" s="593"/>
      <c r="AF42" s="593"/>
      <c r="AG42" s="593"/>
      <c r="AH42" s="607"/>
      <c r="AI42" s="512">
        <f>K42*Y42/O42*AC42</f>
        <v>0</v>
      </c>
      <c r="AJ42" s="511">
        <f t="shared" si="6"/>
        <v>3932.6666666666665</v>
      </c>
      <c r="AK42" s="511">
        <f>K42*Y42/N42*AE42</f>
        <v>0</v>
      </c>
      <c r="AL42" s="511">
        <f>K42*X42/N42*AF42</f>
        <v>0</v>
      </c>
      <c r="AM42" s="512"/>
      <c r="AN42" s="511">
        <f>K42*X42/N42*AH42</f>
        <v>0</v>
      </c>
      <c r="AO42" s="593"/>
      <c r="AP42" s="511"/>
      <c r="AQ42" s="116"/>
      <c r="AR42" s="510">
        <f>K42*Z42/N42*AQ42</f>
        <v>0</v>
      </c>
      <c r="AS42" s="116"/>
      <c r="AT42" s="510">
        <f t="shared" si="13"/>
        <v>0</v>
      </c>
      <c r="AU42" s="116"/>
      <c r="AV42" s="605">
        <v>4424</v>
      </c>
      <c r="AW42" s="116"/>
      <c r="AX42" s="532"/>
      <c r="AY42" s="115"/>
      <c r="AZ42" s="115"/>
      <c r="BA42" s="115"/>
      <c r="BB42" s="116">
        <f t="shared" si="8"/>
        <v>0</v>
      </c>
      <c r="BC42" s="116">
        <f t="shared" si="9"/>
        <v>0</v>
      </c>
      <c r="BD42" s="596"/>
      <c r="BE42" s="596"/>
      <c r="BF42" s="394"/>
      <c r="BG42" s="394"/>
      <c r="BH42" s="506">
        <f t="shared" si="12"/>
        <v>68108.055555555562</v>
      </c>
      <c r="BI42" s="506">
        <f t="shared" si="14"/>
        <v>68108.055555555562</v>
      </c>
      <c r="BJ42" s="115"/>
      <c r="BK42" s="590">
        <v>1</v>
      </c>
      <c r="BL42" s="597">
        <f t="shared" si="7"/>
        <v>0</v>
      </c>
    </row>
    <row r="43" spans="1:64">
      <c r="A43" s="115">
        <v>18</v>
      </c>
      <c r="B43" s="115" t="s">
        <v>190</v>
      </c>
      <c r="C43" s="115" t="s">
        <v>385</v>
      </c>
      <c r="D43" s="115"/>
      <c r="E43" s="504">
        <v>95970</v>
      </c>
      <c r="F43" s="589">
        <v>11</v>
      </c>
      <c r="G43" s="115" t="s">
        <v>291</v>
      </c>
      <c r="H43" s="115" t="s">
        <v>299</v>
      </c>
      <c r="I43" s="115"/>
      <c r="J43" s="590">
        <f t="shared" si="5"/>
        <v>1.0555555555555556</v>
      </c>
      <c r="K43" s="115">
        <v>17697</v>
      </c>
      <c r="L43" s="599"/>
      <c r="M43" s="116">
        <v>36456</v>
      </c>
      <c r="N43" s="394">
        <v>18</v>
      </c>
      <c r="O43" s="394">
        <v>18</v>
      </c>
      <c r="P43" s="591">
        <v>7</v>
      </c>
      <c r="Q43" s="596">
        <v>9</v>
      </c>
      <c r="R43" s="593">
        <v>3</v>
      </c>
      <c r="S43" s="518">
        <f>M43/O43*P43</f>
        <v>14177.333333333332</v>
      </c>
      <c r="T43" s="116">
        <f t="shared" si="2"/>
        <v>18228</v>
      </c>
      <c r="U43" s="116">
        <f t="shared" si="15"/>
        <v>6076</v>
      </c>
      <c r="V43" s="116">
        <f t="shared" si="4"/>
        <v>9620.3333333333321</v>
      </c>
      <c r="W43" s="323">
        <v>0.1</v>
      </c>
      <c r="X43" s="323">
        <v>0.2</v>
      </c>
      <c r="Y43" s="521">
        <v>0.125</v>
      </c>
      <c r="Z43" s="323">
        <v>0.25</v>
      </c>
      <c r="AA43" s="522">
        <v>0.15</v>
      </c>
      <c r="AB43" s="522">
        <v>0.3</v>
      </c>
      <c r="AC43" s="115"/>
      <c r="AD43" s="594">
        <v>7</v>
      </c>
      <c r="AE43" s="593">
        <v>2</v>
      </c>
      <c r="AF43" s="593">
        <v>7</v>
      </c>
      <c r="AG43" s="593"/>
      <c r="AH43" s="607">
        <v>2</v>
      </c>
      <c r="AI43" s="512">
        <f>K43*Y43/O43*AC43</f>
        <v>0</v>
      </c>
      <c r="AJ43" s="511">
        <f t="shared" si="6"/>
        <v>1376.4333333333334</v>
      </c>
      <c r="AK43" s="511">
        <f>K43*Y43/N43*AE43</f>
        <v>245.79166666666666</v>
      </c>
      <c r="AL43" s="511">
        <f>K43*X43/N43*AF43</f>
        <v>1376.4333333333334</v>
      </c>
      <c r="AM43" s="512"/>
      <c r="AN43" s="511">
        <f>K43*X43/N43*AH43</f>
        <v>393.26666666666665</v>
      </c>
      <c r="AO43" s="115">
        <v>7</v>
      </c>
      <c r="AP43" s="511">
        <f>K43*Z43/O43*AO43</f>
        <v>1720.5416666666665</v>
      </c>
      <c r="AQ43" s="116">
        <v>9</v>
      </c>
      <c r="AR43" s="510">
        <f>K43*Z43/N43*AQ43</f>
        <v>2212.125</v>
      </c>
      <c r="AS43" s="116">
        <v>2</v>
      </c>
      <c r="AT43" s="510">
        <f t="shared" si="13"/>
        <v>491.58333333333331</v>
      </c>
      <c r="AU43" s="116"/>
      <c r="AV43" s="605"/>
      <c r="AW43" s="116"/>
      <c r="AX43" s="532"/>
      <c r="AY43" s="115"/>
      <c r="AZ43" s="115"/>
      <c r="BA43" s="115"/>
      <c r="BB43" s="116">
        <f t="shared" si="8"/>
        <v>0</v>
      </c>
      <c r="BC43" s="116">
        <f t="shared" si="9"/>
        <v>0</v>
      </c>
      <c r="BD43" s="116"/>
      <c r="BE43" s="593">
        <v>3539</v>
      </c>
      <c r="BF43" s="394"/>
      <c r="BG43" s="394"/>
      <c r="BH43" s="506">
        <f t="shared" si="12"/>
        <v>59456.84166666666</v>
      </c>
      <c r="BI43" s="506">
        <f>T43+U43+V43+S43+AJ43+AK43+AL43+AM43+AN43+AP43+AI43+AR43+AS43+AU43+AV43+AW43+AX43+AY43+AZ43+BB43+BE43+BF43+BD43</f>
        <v>58967.258333333324</v>
      </c>
      <c r="BJ43" s="115"/>
      <c r="BK43" s="590">
        <v>0.72</v>
      </c>
      <c r="BL43" s="597">
        <f t="shared" si="7"/>
        <v>489.58333333333576</v>
      </c>
    </row>
    <row r="44" spans="1:64">
      <c r="A44" s="598">
        <v>19</v>
      </c>
      <c r="B44" s="115" t="s">
        <v>440</v>
      </c>
      <c r="C44" s="115" t="s">
        <v>384</v>
      </c>
      <c r="D44" s="115"/>
      <c r="E44" s="504">
        <v>507754</v>
      </c>
      <c r="F44" s="589">
        <v>11</v>
      </c>
      <c r="G44" s="115" t="s">
        <v>291</v>
      </c>
      <c r="H44" s="115" t="s">
        <v>418</v>
      </c>
      <c r="I44" s="115"/>
      <c r="J44" s="590">
        <f t="shared" si="5"/>
        <v>0.83333333333333337</v>
      </c>
      <c r="K44" s="115">
        <v>17697</v>
      </c>
      <c r="L44" s="599"/>
      <c r="M44" s="116">
        <v>35748</v>
      </c>
      <c r="N44" s="394">
        <v>18</v>
      </c>
      <c r="O44" s="394">
        <v>18</v>
      </c>
      <c r="P44" s="591">
        <v>12</v>
      </c>
      <c r="Q44" s="596">
        <v>3</v>
      </c>
      <c r="R44" s="593"/>
      <c r="S44" s="518">
        <f t="shared" si="1"/>
        <v>23832</v>
      </c>
      <c r="T44" s="116">
        <f t="shared" si="2"/>
        <v>5958</v>
      </c>
      <c r="U44" s="116">
        <f t="shared" si="15"/>
        <v>0</v>
      </c>
      <c r="V44" s="116">
        <f t="shared" si="4"/>
        <v>7447.5</v>
      </c>
      <c r="W44" s="323">
        <v>0.1</v>
      </c>
      <c r="X44" s="323">
        <v>0.2</v>
      </c>
      <c r="Y44" s="521">
        <v>0.125</v>
      </c>
      <c r="Z44" s="323">
        <v>0.25</v>
      </c>
      <c r="AA44" s="522">
        <v>0.15</v>
      </c>
      <c r="AB44" s="522">
        <v>0.3</v>
      </c>
      <c r="AC44" s="115"/>
      <c r="AD44" s="594"/>
      <c r="AE44" s="593"/>
      <c r="AF44" s="593"/>
      <c r="AG44" s="593"/>
      <c r="AH44" s="607"/>
      <c r="AI44" s="512">
        <f>K44*Y44/O44*AC44</f>
        <v>0</v>
      </c>
      <c r="AJ44" s="511">
        <f t="shared" si="6"/>
        <v>0</v>
      </c>
      <c r="AK44" s="511">
        <f>K44*Y44/N44*AE44</f>
        <v>0</v>
      </c>
      <c r="AL44" s="511">
        <f>K44*X44/N44*AF44</f>
        <v>0</v>
      </c>
      <c r="AM44" s="512">
        <f>K44*W44/N44*AG44</f>
        <v>0</v>
      </c>
      <c r="AN44" s="511">
        <f>K44*X44/N44*AH44</f>
        <v>0</v>
      </c>
      <c r="AO44" s="115"/>
      <c r="AP44" s="511"/>
      <c r="AQ44" s="116"/>
      <c r="AR44" s="510">
        <f>K44*Z44/N44*AQ44</f>
        <v>0</v>
      </c>
      <c r="AS44" s="116"/>
      <c r="AT44" s="510">
        <f t="shared" si="13"/>
        <v>0</v>
      </c>
      <c r="AU44" s="116"/>
      <c r="AV44" s="605"/>
      <c r="AW44" s="116"/>
      <c r="AX44" s="532">
        <v>5309</v>
      </c>
      <c r="AY44" s="115"/>
      <c r="AZ44" s="115"/>
      <c r="BA44" s="115"/>
      <c r="BB44" s="116">
        <f t="shared" si="8"/>
        <v>0</v>
      </c>
      <c r="BC44" s="116">
        <f t="shared" si="9"/>
        <v>0</v>
      </c>
      <c r="BD44" s="116">
        <v>3982</v>
      </c>
      <c r="BE44" s="593"/>
      <c r="BF44" s="394"/>
      <c r="BG44" s="394"/>
      <c r="BH44" s="506">
        <f t="shared" si="12"/>
        <v>46528.5</v>
      </c>
      <c r="BI44" s="506">
        <f>T44+U44+V44+S44+AJ44+AK44+AL44+AM44+AN44+AO44+AQ44+AS44+AU44+AV44+AW44+AX44+AY44+AZ44+BB44+BE44+BF44+BD44</f>
        <v>46528.5</v>
      </c>
      <c r="BJ44" s="115"/>
      <c r="BK44" s="590">
        <v>0.83</v>
      </c>
      <c r="BL44" s="597">
        <f t="shared" si="7"/>
        <v>0</v>
      </c>
    </row>
    <row r="45" spans="1:64">
      <c r="A45" s="115">
        <v>20</v>
      </c>
      <c r="B45" s="115" t="s">
        <v>192</v>
      </c>
      <c r="C45" s="115" t="s">
        <v>189</v>
      </c>
      <c r="D45" s="115"/>
      <c r="E45" s="504" t="s">
        <v>193</v>
      </c>
      <c r="F45" s="589">
        <v>9</v>
      </c>
      <c r="G45" s="115" t="s">
        <v>288</v>
      </c>
      <c r="H45" s="115" t="s">
        <v>480</v>
      </c>
      <c r="I45" s="115" t="s">
        <v>374</v>
      </c>
      <c r="J45" s="590">
        <f t="shared" si="5"/>
        <v>0.5</v>
      </c>
      <c r="K45" s="115">
        <v>17697</v>
      </c>
      <c r="L45" s="599">
        <v>0.5</v>
      </c>
      <c r="M45" s="116">
        <v>50967</v>
      </c>
      <c r="N45" s="394">
        <v>18</v>
      </c>
      <c r="O45" s="394">
        <v>18</v>
      </c>
      <c r="P45" s="591"/>
      <c r="Q45" s="596">
        <v>2</v>
      </c>
      <c r="R45" s="593">
        <v>7</v>
      </c>
      <c r="S45" s="518">
        <f t="shared" si="1"/>
        <v>0</v>
      </c>
      <c r="T45" s="116">
        <f t="shared" si="2"/>
        <v>5663</v>
      </c>
      <c r="U45" s="116">
        <f t="shared" si="15"/>
        <v>19820.5</v>
      </c>
      <c r="V45" s="116">
        <f t="shared" si="4"/>
        <v>6370.875</v>
      </c>
      <c r="W45" s="323">
        <v>0.1</v>
      </c>
      <c r="X45" s="323">
        <v>0.2</v>
      </c>
      <c r="Y45" s="521">
        <v>0.125</v>
      </c>
      <c r="Z45" s="323">
        <v>0.25</v>
      </c>
      <c r="AA45" s="522">
        <v>0.15</v>
      </c>
      <c r="AB45" s="522">
        <v>0.3</v>
      </c>
      <c r="AC45" s="115"/>
      <c r="AD45" s="594"/>
      <c r="AE45" s="593"/>
      <c r="AF45" s="593"/>
      <c r="AG45" s="593"/>
      <c r="AH45" s="607"/>
      <c r="AI45" s="512">
        <f>K45*Y45/O45*AC45</f>
        <v>0</v>
      </c>
      <c r="AJ45" s="511">
        <f t="shared" si="6"/>
        <v>0</v>
      </c>
      <c r="AK45" s="511">
        <f>K45*Y45/N45*AE45</f>
        <v>0</v>
      </c>
      <c r="AL45" s="511">
        <f>K45*X45/N45*AF45</f>
        <v>0</v>
      </c>
      <c r="AM45" s="512">
        <f>K45*W45/N45*AG45</f>
        <v>0</v>
      </c>
      <c r="AN45" s="511">
        <f>K45*X45/N45*AH45</f>
        <v>0</v>
      </c>
      <c r="AO45" s="115"/>
      <c r="AP45" s="511"/>
      <c r="AQ45" s="116"/>
      <c r="AR45" s="510"/>
      <c r="AS45" s="116"/>
      <c r="AT45" s="510"/>
      <c r="AU45" s="116"/>
      <c r="AV45" s="605"/>
      <c r="AW45" s="116"/>
      <c r="AX45" s="532"/>
      <c r="AY45" s="115"/>
      <c r="AZ45" s="115"/>
      <c r="BA45" s="115">
        <f>17697*15%/18*23</f>
        <v>3391.9249999999997</v>
      </c>
      <c r="BB45" s="116">
        <f t="shared" si="8"/>
        <v>1032.3250000000003</v>
      </c>
      <c r="BC45" s="116">
        <f t="shared" si="9"/>
        <v>4424.25</v>
      </c>
      <c r="BD45" s="116"/>
      <c r="BE45" s="593"/>
      <c r="BF45" s="394"/>
      <c r="BG45" s="394"/>
      <c r="BH45" s="506">
        <f t="shared" si="12"/>
        <v>36278.625</v>
      </c>
      <c r="BI45" s="506">
        <f>T45+U45+V45+S45+AJ45+AK45+AL45+AM45+AN45+AO45+AQ45+AS45+AU45+AV45+AW45+AX45+AY45+AZ45+BB45+BE45+BF45+BD45</f>
        <v>32886.699999999997</v>
      </c>
      <c r="BJ45" s="115" t="s">
        <v>374</v>
      </c>
      <c r="BK45" s="590">
        <v>1.17</v>
      </c>
      <c r="BL45" s="597">
        <f t="shared" si="7"/>
        <v>3391.9250000000029</v>
      </c>
    </row>
    <row r="46" spans="1:64">
      <c r="A46" s="115">
        <v>21</v>
      </c>
      <c r="B46" s="115" t="s">
        <v>485</v>
      </c>
      <c r="C46" s="115" t="s">
        <v>501</v>
      </c>
      <c r="D46" s="115"/>
      <c r="E46" s="504"/>
      <c r="F46" s="589">
        <v>9</v>
      </c>
      <c r="G46" s="115" t="s">
        <v>288</v>
      </c>
      <c r="H46" s="115" t="s">
        <v>480</v>
      </c>
      <c r="I46" s="523" t="s">
        <v>300</v>
      </c>
      <c r="J46" s="590">
        <f t="shared" si="5"/>
        <v>0.5</v>
      </c>
      <c r="K46" s="115">
        <v>17697</v>
      </c>
      <c r="L46" s="599">
        <v>0.3</v>
      </c>
      <c r="M46" s="116">
        <v>50967</v>
      </c>
      <c r="N46" s="394">
        <v>18</v>
      </c>
      <c r="O46" s="394">
        <v>18</v>
      </c>
      <c r="P46" s="591"/>
      <c r="Q46" s="596">
        <v>5</v>
      </c>
      <c r="R46" s="593">
        <v>4</v>
      </c>
      <c r="S46" s="518"/>
      <c r="T46" s="116">
        <f t="shared" si="2"/>
        <v>14157.5</v>
      </c>
      <c r="U46" s="116">
        <f t="shared" si="15"/>
        <v>11326</v>
      </c>
      <c r="V46" s="116">
        <f t="shared" si="4"/>
        <v>6370.875</v>
      </c>
      <c r="W46" s="323">
        <v>0.1</v>
      </c>
      <c r="X46" s="323">
        <v>0.2</v>
      </c>
      <c r="Y46" s="521">
        <v>0.125</v>
      </c>
      <c r="Z46" s="323">
        <v>0.25</v>
      </c>
      <c r="AA46" s="522">
        <v>0.15</v>
      </c>
      <c r="AB46" s="522">
        <v>0.3</v>
      </c>
      <c r="AC46" s="115"/>
      <c r="AD46" s="594"/>
      <c r="AE46" s="593">
        <v>3</v>
      </c>
      <c r="AF46" s="593"/>
      <c r="AG46" s="593">
        <v>1</v>
      </c>
      <c r="AH46" s="607"/>
      <c r="AI46" s="512"/>
      <c r="AJ46" s="511">
        <f>K46*X46/O46*AD46</f>
        <v>0</v>
      </c>
      <c r="AK46" s="511">
        <f>K46*Y46/N46*AE46</f>
        <v>368.6875</v>
      </c>
      <c r="AL46" s="511">
        <f>K46*X46/N46*AF46</f>
        <v>0</v>
      </c>
      <c r="AM46" s="512">
        <f>K46*W46/N46*AG46</f>
        <v>98.316666666666663</v>
      </c>
      <c r="AN46" s="511">
        <f>K46*X46/N46*AH46</f>
        <v>0</v>
      </c>
      <c r="AO46" s="115"/>
      <c r="AP46" s="511"/>
      <c r="AQ46" s="116"/>
      <c r="AR46" s="510"/>
      <c r="AS46" s="116"/>
      <c r="AT46" s="510"/>
      <c r="AU46" s="116"/>
      <c r="AV46" s="605"/>
      <c r="AW46" s="116"/>
      <c r="AX46" s="532"/>
      <c r="AY46" s="115"/>
      <c r="AZ46" s="115"/>
      <c r="BA46" s="116">
        <f>17697*10%/18*9</f>
        <v>884.84999999999991</v>
      </c>
      <c r="BB46" s="116">
        <f t="shared" si="8"/>
        <v>1769.6999999999998</v>
      </c>
      <c r="BC46" s="116">
        <f t="shared" si="9"/>
        <v>2654.5499999999997</v>
      </c>
      <c r="BD46" s="116"/>
      <c r="BE46" s="593"/>
      <c r="BF46" s="394"/>
      <c r="BG46" s="394"/>
      <c r="BH46" s="506">
        <f t="shared" si="12"/>
        <v>34975.929166666669</v>
      </c>
      <c r="BI46" s="506">
        <f>T46+U46+V46+S46+AJ46+AK46+AL46+AM46+AN46+AO46+AQ46+AS46+AU46+AV46+AW46+AX46+AY46+AZ46+BB46+BE46+BF46+BD46</f>
        <v>34091.079166666663</v>
      </c>
      <c r="BJ46" s="523" t="s">
        <v>300</v>
      </c>
      <c r="BK46" s="621"/>
      <c r="BL46" s="597"/>
    </row>
    <row r="47" spans="1:64">
      <c r="A47" s="115"/>
      <c r="B47" s="115" t="s">
        <v>388</v>
      </c>
      <c r="C47" s="115"/>
      <c r="D47" s="115"/>
      <c r="E47" s="504"/>
      <c r="F47" s="589"/>
      <c r="G47" s="115"/>
      <c r="H47" s="115"/>
      <c r="I47" s="523"/>
      <c r="J47" s="590">
        <f t="shared" si="5"/>
        <v>0.66666666666666663</v>
      </c>
      <c r="K47" s="115"/>
      <c r="L47" s="599"/>
      <c r="M47" s="116"/>
      <c r="N47" s="394"/>
      <c r="O47" s="394"/>
      <c r="P47" s="591"/>
      <c r="Q47" s="596">
        <v>6</v>
      </c>
      <c r="R47" s="593">
        <v>6</v>
      </c>
      <c r="S47" s="518"/>
      <c r="T47" s="116"/>
      <c r="U47" s="116"/>
      <c r="V47" s="116"/>
      <c r="W47" s="323"/>
      <c r="X47" s="323"/>
      <c r="Y47" s="521"/>
      <c r="Z47" s="323"/>
      <c r="AA47" s="522"/>
      <c r="AB47" s="522"/>
      <c r="AC47" s="115"/>
      <c r="AD47" s="594"/>
      <c r="AE47" s="593"/>
      <c r="AF47" s="593"/>
      <c r="AG47" s="593"/>
      <c r="AH47" s="607"/>
      <c r="AI47" s="512"/>
      <c r="AJ47" s="511"/>
      <c r="AK47" s="511"/>
      <c r="AL47" s="511"/>
      <c r="AM47" s="512"/>
      <c r="AN47" s="511"/>
      <c r="AO47" s="115"/>
      <c r="AP47" s="511"/>
      <c r="AQ47" s="116"/>
      <c r="AR47" s="510"/>
      <c r="AS47" s="116"/>
      <c r="AT47" s="510"/>
      <c r="AU47" s="116"/>
      <c r="AV47" s="605"/>
      <c r="AW47" s="116"/>
      <c r="AX47" s="532"/>
      <c r="AY47" s="115"/>
      <c r="AZ47" s="115"/>
      <c r="BA47" s="116"/>
      <c r="BB47" s="116"/>
      <c r="BC47" s="116"/>
      <c r="BD47" s="116"/>
      <c r="BE47" s="593"/>
      <c r="BF47" s="394"/>
      <c r="BG47" s="394"/>
      <c r="BH47" s="506"/>
      <c r="BI47" s="506"/>
      <c r="BJ47" s="561"/>
      <c r="BK47" s="621"/>
      <c r="BL47" s="597"/>
    </row>
    <row r="48" spans="1:64" s="632" customFormat="1">
      <c r="A48" s="622"/>
      <c r="B48" s="622" t="s">
        <v>301</v>
      </c>
      <c r="C48" s="622" t="s">
        <v>302</v>
      </c>
      <c r="D48" s="622"/>
      <c r="E48" s="623"/>
      <c r="F48" s="624" t="s">
        <v>302</v>
      </c>
      <c r="G48" s="622" t="s">
        <v>302</v>
      </c>
      <c r="H48" s="622" t="s">
        <v>302</v>
      </c>
      <c r="I48" s="622"/>
      <c r="J48" s="625">
        <f>SUM(J24:J47)</f>
        <v>20.82</v>
      </c>
      <c r="K48" s="622" t="s">
        <v>302</v>
      </c>
      <c r="L48" s="626"/>
      <c r="M48" s="622" t="s">
        <v>302</v>
      </c>
      <c r="N48" s="627"/>
      <c r="O48" s="627"/>
      <c r="P48" s="628">
        <f t="shared" ref="P48:AZ48" si="16">SUM(P24:P45)</f>
        <v>110</v>
      </c>
      <c r="Q48" s="629">
        <f>SUM(Q24:Q47)</f>
        <v>186.76</v>
      </c>
      <c r="R48" s="629">
        <f>SUM(R24:R47)</f>
        <v>78</v>
      </c>
      <c r="S48" s="628">
        <f t="shared" si="16"/>
        <v>249793.05555555559</v>
      </c>
      <c r="T48" s="628">
        <f t="shared" si="16"/>
        <v>463393.27333333332</v>
      </c>
      <c r="U48" s="628">
        <f t="shared" si="16"/>
        <v>181423.22222222222</v>
      </c>
      <c r="V48" s="628">
        <f t="shared" si="16"/>
        <v>222236.6377777778</v>
      </c>
      <c r="W48" s="628">
        <f t="shared" si="16"/>
        <v>2.2000000000000006</v>
      </c>
      <c r="X48" s="628">
        <f t="shared" si="16"/>
        <v>4.4000000000000012</v>
      </c>
      <c r="Y48" s="628">
        <f t="shared" si="16"/>
        <v>2.75</v>
      </c>
      <c r="Z48" s="628">
        <f t="shared" si="16"/>
        <v>5.5</v>
      </c>
      <c r="AA48" s="628">
        <f t="shared" si="16"/>
        <v>3.2999999999999989</v>
      </c>
      <c r="AB48" s="628">
        <f t="shared" si="16"/>
        <v>6.5999999999999979</v>
      </c>
      <c r="AC48" s="628">
        <f t="shared" si="16"/>
        <v>0</v>
      </c>
      <c r="AD48" s="628">
        <f t="shared" si="16"/>
        <v>84</v>
      </c>
      <c r="AE48" s="630">
        <f t="shared" si="16"/>
        <v>31</v>
      </c>
      <c r="AF48" s="628">
        <f t="shared" si="16"/>
        <v>60</v>
      </c>
      <c r="AG48" s="628">
        <f t="shared" si="16"/>
        <v>27</v>
      </c>
      <c r="AH48" s="628">
        <f t="shared" si="16"/>
        <v>2</v>
      </c>
      <c r="AI48" s="628">
        <f t="shared" si="16"/>
        <v>0</v>
      </c>
      <c r="AJ48" s="628">
        <f t="shared" si="16"/>
        <v>16517.199999999997</v>
      </c>
      <c r="AK48" s="628">
        <f t="shared" si="16"/>
        <v>3318.1874999999995</v>
      </c>
      <c r="AL48" s="628">
        <f t="shared" si="16"/>
        <v>12682.849999999999</v>
      </c>
      <c r="AM48" s="628">
        <f t="shared" si="16"/>
        <v>2777.4458333333337</v>
      </c>
      <c r="AN48" s="628">
        <f t="shared" si="16"/>
        <v>393.26666666666665</v>
      </c>
      <c r="AO48" s="628">
        <f t="shared" si="16"/>
        <v>18</v>
      </c>
      <c r="AP48" s="628">
        <f t="shared" si="16"/>
        <v>4424.25</v>
      </c>
      <c r="AQ48" s="628">
        <f t="shared" si="16"/>
        <v>25</v>
      </c>
      <c r="AR48" s="628">
        <f t="shared" si="16"/>
        <v>6144.7916666666661</v>
      </c>
      <c r="AS48" s="628">
        <f t="shared" si="16"/>
        <v>7</v>
      </c>
      <c r="AT48" s="628">
        <f t="shared" si="16"/>
        <v>1720.5416666666665</v>
      </c>
      <c r="AU48" s="628">
        <f t="shared" si="16"/>
        <v>0</v>
      </c>
      <c r="AV48" s="628">
        <f t="shared" si="16"/>
        <v>17696</v>
      </c>
      <c r="AW48" s="628">
        <f t="shared" si="16"/>
        <v>5310</v>
      </c>
      <c r="AX48" s="628">
        <f t="shared" si="16"/>
        <v>15927</v>
      </c>
      <c r="AY48" s="628">
        <f t="shared" si="16"/>
        <v>5310</v>
      </c>
      <c r="AZ48" s="628">
        <f t="shared" si="16"/>
        <v>0</v>
      </c>
      <c r="BA48" s="628">
        <f>SUM(BA25:BA45)</f>
        <v>27369.39366666666</v>
      </c>
      <c r="BB48" s="628">
        <f>SUM(BB25:BB45)</f>
        <v>62175.459999999992</v>
      </c>
      <c r="BC48" s="628">
        <f>SUM(BC24:BC45)</f>
        <v>89544.853666666662</v>
      </c>
      <c r="BD48" s="628">
        <f>SUM(BD24:BD45)</f>
        <v>11503.4</v>
      </c>
      <c r="BE48" s="628">
        <f>SUM(BE24:BE45)</f>
        <v>21234</v>
      </c>
      <c r="BF48" s="628">
        <f>SUM(BF24:BF45)</f>
        <v>24775.800000000003</v>
      </c>
      <c r="BG48" s="628"/>
      <c r="BH48" s="628">
        <f>SUM(BH24:BH45)</f>
        <v>1385008.9842222224</v>
      </c>
      <c r="BI48" s="628">
        <f>SUM(BI24:BI45)</f>
        <v>1350540.8322222221</v>
      </c>
      <c r="BJ48" s="631"/>
      <c r="BL48" s="633">
        <f>SUM(BL24:BL45)</f>
        <v>32796.768666666656</v>
      </c>
    </row>
    <row r="49" spans="1:62">
      <c r="A49" s="561"/>
      <c r="B49" s="561"/>
      <c r="C49" s="561"/>
      <c r="D49" s="561"/>
      <c r="E49" s="634"/>
      <c r="F49" s="561"/>
      <c r="G49" s="561"/>
      <c r="H49" s="561"/>
      <c r="I49" s="561"/>
      <c r="J49" s="635"/>
      <c r="K49" s="561"/>
      <c r="L49" s="636"/>
      <c r="M49" s="561"/>
      <c r="N49" s="313"/>
      <c r="O49" s="313"/>
      <c r="P49" s="561"/>
      <c r="Q49" s="637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481"/>
      <c r="AJ49" s="481"/>
      <c r="AK49" s="481"/>
      <c r="AL49" s="481"/>
      <c r="AM49" s="481"/>
      <c r="AN49" s="481"/>
      <c r="AO49" s="481"/>
      <c r="AP49" s="481"/>
      <c r="AQ49" s="481"/>
      <c r="AR49" s="561"/>
      <c r="AS49" s="561"/>
      <c r="AT49" s="561"/>
      <c r="AU49" s="561"/>
      <c r="AV49" s="638"/>
      <c r="AW49" s="561"/>
      <c r="AX49" s="561"/>
      <c r="AY49" s="561"/>
      <c r="AZ49" s="561"/>
      <c r="BA49" s="561"/>
      <c r="BB49" s="561"/>
      <c r="BC49" s="561"/>
      <c r="BD49" s="561"/>
      <c r="BE49" s="561"/>
      <c r="BF49" s="313"/>
      <c r="BG49" s="313"/>
      <c r="BH49" s="583"/>
      <c r="BI49" s="583"/>
      <c r="BJ49" s="561"/>
    </row>
    <row r="50" spans="1:62">
      <c r="A50" s="561"/>
      <c r="B50" s="561"/>
      <c r="C50" s="561"/>
      <c r="D50" s="561"/>
      <c r="E50" s="561"/>
      <c r="F50" s="561"/>
      <c r="G50" s="561"/>
      <c r="H50" s="561"/>
      <c r="I50" s="561"/>
      <c r="J50" s="561"/>
      <c r="K50" s="561"/>
      <c r="L50" s="636"/>
      <c r="M50" s="561"/>
      <c r="N50" s="313"/>
      <c r="O50" s="313"/>
      <c r="P50" s="561"/>
      <c r="Q50" s="561"/>
      <c r="R50" s="561"/>
      <c r="S50" s="561"/>
      <c r="T50" s="638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493"/>
      <c r="AJ50" s="493"/>
      <c r="AK50" s="493"/>
      <c r="AL50" s="560"/>
      <c r="AM50" s="558" t="s">
        <v>148</v>
      </c>
      <c r="AN50" s="639"/>
      <c r="AO50" s="639"/>
      <c r="AP50" s="639"/>
      <c r="AQ50" s="558"/>
      <c r="AR50" s="640"/>
      <c r="AS50" s="641"/>
      <c r="AT50" s="642"/>
      <c r="AU50" s="642"/>
      <c r="AV50" s="642"/>
      <c r="AW50" s="642"/>
      <c r="AX50" s="643"/>
      <c r="AY50" s="643"/>
      <c r="AZ50" s="643"/>
      <c r="BA50" s="643"/>
      <c r="BB50" s="643"/>
      <c r="BC50" s="643"/>
      <c r="BD50" s="643"/>
      <c r="BE50" s="643"/>
      <c r="BF50" s="313"/>
      <c r="BG50" s="313"/>
      <c r="BH50" s="313"/>
      <c r="BI50" s="313"/>
      <c r="BJ50" s="561"/>
    </row>
    <row r="51" spans="1:62">
      <c r="A51" s="561"/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636"/>
      <c r="M51" s="561"/>
      <c r="N51" s="313"/>
      <c r="O51" s="313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493"/>
      <c r="AJ51" s="493"/>
      <c r="AK51" s="493"/>
      <c r="AL51" s="560"/>
      <c r="AM51" s="558" t="s">
        <v>149</v>
      </c>
      <c r="AN51" s="639"/>
      <c r="AO51" s="639"/>
      <c r="AP51" s="639"/>
      <c r="AQ51" s="558"/>
      <c r="AR51" s="558"/>
      <c r="AS51" s="640"/>
      <c r="AT51" s="640"/>
      <c r="AU51" s="640"/>
      <c r="AV51" s="640"/>
      <c r="AW51" s="640"/>
      <c r="AX51" s="561"/>
      <c r="AY51" s="561"/>
      <c r="AZ51" s="561"/>
      <c r="BA51" s="561"/>
      <c r="BB51" s="561"/>
      <c r="BC51" s="561"/>
      <c r="BD51" s="561"/>
      <c r="BE51" s="561"/>
      <c r="BF51" s="313"/>
      <c r="BG51" s="313"/>
      <c r="BH51" s="313"/>
      <c r="BI51" s="313"/>
      <c r="BJ51" s="561"/>
    </row>
    <row r="52" spans="1:62">
      <c r="A52" s="561"/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636"/>
      <c r="M52" s="561"/>
      <c r="N52" s="313"/>
      <c r="O52" s="313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493"/>
      <c r="AJ52" s="493"/>
      <c r="AK52" s="493"/>
      <c r="AL52" s="560"/>
      <c r="AM52" s="558" t="s">
        <v>325</v>
      </c>
      <c r="AN52" s="639"/>
      <c r="AO52" s="639"/>
      <c r="AP52" s="639"/>
      <c r="AQ52" s="83"/>
      <c r="AR52" s="558"/>
      <c r="AS52" s="640"/>
      <c r="AT52" s="640"/>
      <c r="AU52" s="640"/>
      <c r="AV52" s="640"/>
      <c r="AW52" s="640"/>
      <c r="AX52" s="561"/>
      <c r="AY52" s="561"/>
      <c r="AZ52" s="561"/>
      <c r="BA52" s="561"/>
      <c r="BB52" s="561"/>
      <c r="BC52" s="561"/>
      <c r="BD52" s="561"/>
      <c r="BE52" s="561"/>
      <c r="BF52" s="313"/>
      <c r="BG52" s="313"/>
      <c r="BH52" s="313"/>
      <c r="BI52" s="313"/>
      <c r="BJ52" s="561"/>
    </row>
    <row r="53" spans="1:62">
      <c r="A53" s="561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636"/>
      <c r="M53" s="561"/>
      <c r="N53" s="313"/>
      <c r="O53" s="313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313"/>
      <c r="BG53" s="313"/>
      <c r="BH53" s="313"/>
      <c r="BI53" s="313"/>
      <c r="BJ53" s="561"/>
    </row>
    <row r="54" spans="1:62">
      <c r="A54" s="561"/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636"/>
      <c r="M54" s="561"/>
      <c r="N54" s="313"/>
      <c r="O54" s="313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1"/>
      <c r="AL54" s="561"/>
      <c r="AM54" s="561"/>
      <c r="AN54" s="561"/>
      <c r="AO54" s="561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313"/>
      <c r="BG54" s="313"/>
      <c r="BH54" s="313"/>
      <c r="BI54" s="313"/>
      <c r="BJ54" s="561"/>
    </row>
    <row r="55" spans="1:62">
      <c r="A55" s="561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636"/>
      <c r="M55" s="561"/>
      <c r="N55" s="313"/>
      <c r="O55" s="313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  <c r="BC55" s="561"/>
      <c r="BD55" s="561"/>
      <c r="BE55" s="561"/>
      <c r="BF55" s="313"/>
      <c r="BG55" s="313"/>
      <c r="BH55" s="313"/>
      <c r="BI55" s="313"/>
      <c r="BJ55" s="561"/>
    </row>
    <row r="56" spans="1:62">
      <c r="A56" s="561"/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636"/>
      <c r="M56" s="561"/>
      <c r="N56" s="313"/>
      <c r="O56" s="313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313"/>
      <c r="BG56" s="313"/>
      <c r="BH56" s="313"/>
      <c r="BI56" s="313"/>
      <c r="BJ56" s="561"/>
    </row>
    <row r="57" spans="1:62">
      <c r="A57" s="561"/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636"/>
      <c r="M57" s="561"/>
      <c r="N57" s="313"/>
      <c r="O57" s="313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1"/>
      <c r="AW57" s="561"/>
      <c r="AX57" s="561"/>
      <c r="AY57" s="561"/>
      <c r="AZ57" s="561"/>
      <c r="BA57" s="561"/>
      <c r="BB57" s="561"/>
      <c r="BC57" s="561"/>
      <c r="BD57" s="561"/>
      <c r="BE57" s="561"/>
      <c r="BF57" s="313"/>
      <c r="BG57" s="313"/>
      <c r="BH57" s="313"/>
      <c r="BI57" s="313"/>
      <c r="BJ57" s="561"/>
    </row>
    <row r="58" spans="1:62">
      <c r="A58" s="561"/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636"/>
      <c r="M58" s="561"/>
      <c r="N58" s="313"/>
      <c r="O58" s="313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61"/>
      <c r="AV58" s="561"/>
      <c r="AW58" s="561"/>
      <c r="AX58" s="561"/>
      <c r="AY58" s="561"/>
      <c r="AZ58" s="561"/>
      <c r="BA58" s="561"/>
      <c r="BB58" s="561"/>
      <c r="BC58" s="561"/>
      <c r="BD58" s="561"/>
      <c r="BE58" s="561"/>
      <c r="BF58" s="313"/>
      <c r="BG58" s="313"/>
      <c r="BH58" s="313"/>
      <c r="BI58" s="313"/>
      <c r="BJ58" s="561"/>
    </row>
    <row r="59" spans="1:62">
      <c r="A59" s="561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636"/>
      <c r="M59" s="561"/>
      <c r="N59" s="313"/>
      <c r="O59" s="313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  <c r="AV59" s="561"/>
      <c r="AW59" s="561"/>
      <c r="AX59" s="561"/>
      <c r="AY59" s="561"/>
      <c r="AZ59" s="561"/>
      <c r="BA59" s="561"/>
      <c r="BB59" s="561"/>
      <c r="BC59" s="561"/>
      <c r="BD59" s="561"/>
      <c r="BE59" s="561"/>
      <c r="BF59" s="313"/>
      <c r="BG59" s="313"/>
      <c r="BH59" s="313"/>
      <c r="BI59" s="313"/>
      <c r="BJ59" s="561"/>
    </row>
    <row r="60" spans="1:62">
      <c r="A60" s="561"/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636"/>
      <c r="M60" s="561"/>
      <c r="N60" s="313"/>
      <c r="O60" s="313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1"/>
      <c r="AS60" s="561"/>
      <c r="AT60" s="561"/>
      <c r="AU60" s="561"/>
      <c r="AV60" s="561"/>
      <c r="AW60" s="561"/>
      <c r="AX60" s="561"/>
      <c r="AY60" s="561"/>
      <c r="AZ60" s="561"/>
      <c r="BA60" s="561"/>
      <c r="BB60" s="561"/>
      <c r="BC60" s="561"/>
      <c r="BD60" s="561"/>
      <c r="BE60" s="561"/>
      <c r="BF60" s="313"/>
      <c r="BG60" s="313"/>
      <c r="BH60" s="313"/>
      <c r="BI60" s="313"/>
      <c r="BJ60" s="561"/>
    </row>
    <row r="61" spans="1:62">
      <c r="A61" s="561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636"/>
      <c r="M61" s="561"/>
      <c r="N61" s="313"/>
      <c r="O61" s="313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561"/>
      <c r="AN61" s="561"/>
      <c r="AO61" s="561"/>
      <c r="AP61" s="561"/>
      <c r="AQ61" s="561"/>
      <c r="AR61" s="561"/>
      <c r="AS61" s="561"/>
      <c r="AT61" s="561"/>
      <c r="AU61" s="561"/>
      <c r="AV61" s="561"/>
      <c r="AW61" s="561"/>
      <c r="AX61" s="561"/>
      <c r="AY61" s="561"/>
      <c r="AZ61" s="561"/>
      <c r="BA61" s="561"/>
      <c r="BB61" s="561"/>
      <c r="BC61" s="561"/>
      <c r="BD61" s="561"/>
      <c r="BE61" s="561"/>
      <c r="BF61" s="313"/>
      <c r="BG61" s="313"/>
      <c r="BH61" s="313"/>
      <c r="BI61" s="313"/>
      <c r="BJ61" s="561"/>
    </row>
    <row r="62" spans="1:62">
      <c r="A62" s="561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636"/>
      <c r="M62" s="561"/>
      <c r="N62" s="313"/>
      <c r="O62" s="313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561"/>
      <c r="AG62" s="561"/>
      <c r="AH62" s="561"/>
      <c r="AI62" s="561"/>
      <c r="AJ62" s="561"/>
      <c r="AK62" s="561"/>
      <c r="AL62" s="561"/>
      <c r="AM62" s="561"/>
      <c r="AN62" s="561"/>
      <c r="AO62" s="561"/>
      <c r="AP62" s="561"/>
      <c r="AQ62" s="561"/>
      <c r="AR62" s="561"/>
      <c r="AS62" s="561"/>
      <c r="AT62" s="561"/>
      <c r="AU62" s="561"/>
      <c r="AV62" s="561"/>
      <c r="AW62" s="561"/>
      <c r="AX62" s="561"/>
      <c r="AY62" s="561"/>
      <c r="AZ62" s="561"/>
      <c r="BA62" s="561"/>
      <c r="BB62" s="561"/>
      <c r="BC62" s="561"/>
      <c r="BD62" s="561"/>
      <c r="BE62" s="561"/>
      <c r="BF62" s="313"/>
      <c r="BG62" s="313"/>
      <c r="BH62" s="313"/>
      <c r="BI62" s="313"/>
      <c r="BJ62" s="561"/>
    </row>
    <row r="63" spans="1:62">
      <c r="A63" s="561"/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636"/>
      <c r="M63" s="561"/>
      <c r="N63" s="313"/>
      <c r="O63" s="313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313"/>
      <c r="BG63" s="313"/>
      <c r="BH63" s="313"/>
      <c r="BI63" s="313"/>
      <c r="BJ63" s="561"/>
    </row>
    <row r="64" spans="1:62">
      <c r="A64" s="561"/>
      <c r="B64" s="561"/>
      <c r="C64" s="561"/>
      <c r="D64" s="561"/>
      <c r="E64" s="561"/>
      <c r="F64" s="561"/>
      <c r="G64" s="561"/>
      <c r="H64" s="561"/>
      <c r="I64" s="561"/>
      <c r="J64" s="561"/>
      <c r="K64" s="561"/>
      <c r="L64" s="636"/>
      <c r="M64" s="561"/>
      <c r="N64" s="313"/>
      <c r="O64" s="313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561"/>
      <c r="AM64" s="561"/>
      <c r="AN64" s="561"/>
      <c r="AO64" s="561"/>
      <c r="AP64" s="561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313"/>
      <c r="BG64" s="313"/>
      <c r="BH64" s="313"/>
      <c r="BI64" s="313"/>
      <c r="BJ64" s="561"/>
    </row>
    <row r="65" spans="1:62">
      <c r="A65" s="561"/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636"/>
      <c r="M65" s="561"/>
      <c r="N65" s="313"/>
      <c r="O65" s="313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1"/>
      <c r="AK65" s="561"/>
      <c r="AL65" s="561"/>
      <c r="AM65" s="561"/>
      <c r="AN65" s="561"/>
      <c r="AO65" s="561"/>
      <c r="AP65" s="561"/>
      <c r="AQ65" s="561"/>
      <c r="AR65" s="561"/>
      <c r="AS65" s="561"/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313"/>
      <c r="BG65" s="313"/>
      <c r="BH65" s="313"/>
      <c r="BI65" s="313"/>
      <c r="BJ65" s="561"/>
    </row>
    <row r="66" spans="1:62">
      <c r="A66" s="561"/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636"/>
      <c r="M66" s="561"/>
      <c r="N66" s="313"/>
      <c r="O66" s="313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561"/>
      <c r="AK66" s="561"/>
      <c r="AL66" s="561"/>
      <c r="AM66" s="561"/>
      <c r="AN66" s="561"/>
      <c r="AO66" s="561"/>
      <c r="AP66" s="561"/>
      <c r="AQ66" s="561"/>
      <c r="AR66" s="561"/>
      <c r="AS66" s="561"/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1"/>
      <c r="BF66" s="313"/>
      <c r="BG66" s="313"/>
      <c r="BH66" s="313"/>
      <c r="BI66" s="313"/>
      <c r="BJ66" s="561"/>
    </row>
    <row r="67" spans="1:62">
      <c r="A67" s="561"/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636"/>
      <c r="M67" s="561"/>
      <c r="N67" s="313"/>
      <c r="O67" s="313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1"/>
      <c r="AL67" s="561"/>
      <c r="AM67" s="561"/>
      <c r="AN67" s="561"/>
      <c r="AO67" s="561"/>
      <c r="AP67" s="561"/>
      <c r="AQ67" s="561"/>
      <c r="AR67" s="561"/>
      <c r="AS67" s="561"/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1"/>
      <c r="BE67" s="561"/>
      <c r="BF67" s="313"/>
      <c r="BG67" s="313"/>
      <c r="BH67" s="313"/>
      <c r="BI67" s="313"/>
      <c r="BJ67" s="561"/>
    </row>
    <row r="68" spans="1:62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636"/>
      <c r="M68" s="561"/>
      <c r="N68" s="313"/>
      <c r="O68" s="313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1"/>
      <c r="AK68" s="561"/>
      <c r="AL68" s="561"/>
      <c r="AM68" s="561"/>
      <c r="AN68" s="561"/>
      <c r="AO68" s="561"/>
      <c r="AP68" s="561"/>
      <c r="AQ68" s="561"/>
      <c r="AR68" s="561"/>
      <c r="AS68" s="561"/>
      <c r="AT68" s="561"/>
      <c r="AU68" s="561"/>
      <c r="AV68" s="561"/>
      <c r="AW68" s="561"/>
      <c r="AX68" s="561"/>
      <c r="AY68" s="561"/>
      <c r="AZ68" s="561"/>
      <c r="BA68" s="561"/>
      <c r="BB68" s="561"/>
      <c r="BC68" s="561"/>
      <c r="BD68" s="561"/>
      <c r="BE68" s="561"/>
      <c r="BF68" s="313"/>
      <c r="BG68" s="313"/>
      <c r="BH68" s="313"/>
      <c r="BI68" s="313"/>
      <c r="BJ68" s="561"/>
    </row>
    <row r="69" spans="1:62">
      <c r="A69" s="561"/>
      <c r="B69" s="561"/>
      <c r="C69" s="561"/>
      <c r="D69" s="561"/>
      <c r="E69" s="561"/>
      <c r="F69" s="561"/>
      <c r="G69" s="561"/>
      <c r="H69" s="561"/>
      <c r="I69" s="561"/>
      <c r="J69" s="561"/>
      <c r="K69" s="561"/>
      <c r="L69" s="636"/>
      <c r="M69" s="561"/>
      <c r="N69" s="313"/>
      <c r="O69" s="313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561"/>
      <c r="AN69" s="561"/>
      <c r="AO69" s="561"/>
      <c r="AP69" s="561"/>
      <c r="AQ69" s="561"/>
      <c r="AR69" s="561"/>
      <c r="AS69" s="561"/>
      <c r="AT69" s="561"/>
      <c r="AU69" s="561"/>
      <c r="AV69" s="561"/>
      <c r="AW69" s="561"/>
      <c r="AX69" s="561"/>
      <c r="AY69" s="561"/>
      <c r="AZ69" s="561"/>
      <c r="BA69" s="561"/>
      <c r="BB69" s="561"/>
      <c r="BC69" s="561"/>
      <c r="BD69" s="561"/>
      <c r="BE69" s="561"/>
      <c r="BF69" s="313"/>
      <c r="BG69" s="313"/>
      <c r="BH69" s="313"/>
      <c r="BI69" s="313"/>
      <c r="BJ69" s="561"/>
    </row>
    <row r="70" spans="1:62">
      <c r="A70" s="561"/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636"/>
      <c r="M70" s="561"/>
      <c r="N70" s="313"/>
      <c r="O70" s="313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313"/>
      <c r="BG70" s="313"/>
      <c r="BH70" s="313"/>
      <c r="BI70" s="313"/>
      <c r="BJ70" s="561"/>
    </row>
    <row r="71" spans="1:62">
      <c r="A71" s="561"/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636"/>
      <c r="M71" s="561"/>
      <c r="N71" s="313"/>
      <c r="O71" s="313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1"/>
      <c r="AD71" s="561"/>
      <c r="AE71" s="561"/>
      <c r="AF71" s="561"/>
      <c r="AG71" s="561"/>
      <c r="AH71" s="561"/>
      <c r="AI71" s="561"/>
      <c r="AJ71" s="561"/>
      <c r="AK71" s="561"/>
      <c r="AL71" s="561"/>
      <c r="AM71" s="561"/>
      <c r="AN71" s="561"/>
      <c r="AO71" s="561"/>
      <c r="AP71" s="561"/>
      <c r="AQ71" s="561"/>
      <c r="AR71" s="561"/>
      <c r="AS71" s="561"/>
      <c r="AT71" s="561"/>
      <c r="AU71" s="561"/>
      <c r="AV71" s="561"/>
      <c r="AW71" s="561"/>
      <c r="AX71" s="561"/>
      <c r="AY71" s="561"/>
      <c r="AZ71" s="561"/>
      <c r="BA71" s="561"/>
      <c r="BB71" s="561"/>
      <c r="BC71" s="561"/>
      <c r="BD71" s="561"/>
      <c r="BE71" s="561"/>
      <c r="BF71" s="313"/>
      <c r="BG71" s="313"/>
      <c r="BH71" s="313"/>
      <c r="BI71" s="313"/>
      <c r="BJ71" s="561"/>
    </row>
    <row r="72" spans="1:62">
      <c r="A72" s="561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636"/>
      <c r="M72" s="561"/>
      <c r="N72" s="313"/>
      <c r="O72" s="313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  <c r="AA72" s="561"/>
      <c r="AB72" s="561"/>
      <c r="AC72" s="561"/>
      <c r="AD72" s="561"/>
      <c r="AE72" s="561"/>
      <c r="AF72" s="561"/>
      <c r="AG72" s="561"/>
      <c r="AH72" s="561"/>
      <c r="AI72" s="561"/>
      <c r="AJ72" s="561"/>
      <c r="AK72" s="561"/>
      <c r="AL72" s="561"/>
      <c r="AM72" s="561"/>
      <c r="AN72" s="561"/>
      <c r="AO72" s="561"/>
      <c r="AP72" s="561"/>
      <c r="AQ72" s="561"/>
      <c r="AR72" s="561"/>
      <c r="AS72" s="561"/>
      <c r="AT72" s="561"/>
      <c r="AU72" s="561"/>
      <c r="AV72" s="561"/>
      <c r="AW72" s="561"/>
      <c r="AX72" s="561"/>
      <c r="AY72" s="561"/>
      <c r="AZ72" s="561"/>
      <c r="BA72" s="561"/>
      <c r="BB72" s="561"/>
      <c r="BC72" s="561"/>
      <c r="BD72" s="561"/>
      <c r="BE72" s="561"/>
      <c r="BF72" s="313"/>
      <c r="BG72" s="313"/>
      <c r="BH72" s="313"/>
      <c r="BI72" s="313"/>
      <c r="BJ72" s="561"/>
    </row>
    <row r="73" spans="1:62">
      <c r="A73" s="561"/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636"/>
      <c r="M73" s="561"/>
      <c r="N73" s="313"/>
      <c r="O73" s="313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61"/>
      <c r="AT73" s="561"/>
      <c r="AU73" s="561"/>
      <c r="AV73" s="561"/>
      <c r="AW73" s="561"/>
      <c r="AX73" s="561"/>
      <c r="AY73" s="561"/>
      <c r="AZ73" s="561"/>
      <c r="BA73" s="561"/>
      <c r="BB73" s="561"/>
      <c r="BC73" s="561"/>
      <c r="BD73" s="561"/>
      <c r="BE73" s="561"/>
      <c r="BF73" s="313"/>
      <c r="BG73" s="313"/>
      <c r="BH73" s="313"/>
      <c r="BI73" s="313"/>
      <c r="BJ73" s="561"/>
    </row>
    <row r="74" spans="1:62">
      <c r="A74" s="561"/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636"/>
      <c r="M74" s="561"/>
      <c r="N74" s="313"/>
      <c r="O74" s="313"/>
      <c r="P74" s="561"/>
      <c r="Q74" s="561"/>
      <c r="R74" s="561"/>
      <c r="S74" s="561"/>
      <c r="T74" s="561"/>
      <c r="U74" s="561"/>
      <c r="V74" s="561"/>
      <c r="W74" s="644"/>
      <c r="X74" s="644"/>
      <c r="Y74" s="644"/>
      <c r="Z74" s="644"/>
      <c r="AA74" s="644"/>
      <c r="AB74" s="644"/>
      <c r="AC74" s="644"/>
      <c r="AD74" s="644"/>
      <c r="AE74" s="644"/>
      <c r="AF74" s="644"/>
      <c r="AG74" s="644"/>
      <c r="AH74" s="644"/>
      <c r="AI74" s="644"/>
      <c r="AJ74" s="644"/>
      <c r="AK74" s="644"/>
      <c r="AL74" s="644"/>
      <c r="AM74" s="644"/>
      <c r="AN74" s="644"/>
      <c r="AO74" s="644"/>
      <c r="AP74" s="644"/>
      <c r="AQ74" s="644"/>
      <c r="AR74" s="644"/>
      <c r="AS74" s="644"/>
      <c r="AT74" s="644"/>
      <c r="AU74" s="644"/>
      <c r="AV74" s="644"/>
      <c r="AW74" s="644"/>
      <c r="AX74" s="81"/>
      <c r="AY74" s="644"/>
      <c r="AZ74" s="644"/>
      <c r="BA74" s="644"/>
      <c r="BB74" s="644"/>
      <c r="BC74" s="644"/>
      <c r="BD74" s="644"/>
      <c r="BE74" s="644"/>
      <c r="BF74" s="645"/>
      <c r="BG74" s="645"/>
      <c r="BH74" s="645"/>
      <c r="BI74" s="645"/>
      <c r="BJ74" s="644"/>
    </row>
    <row r="75" spans="1:62">
      <c r="A75" s="561"/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636"/>
      <c r="M75" s="561"/>
      <c r="N75" s="313"/>
      <c r="O75" s="313"/>
      <c r="P75" s="561"/>
      <c r="Q75" s="561"/>
      <c r="R75" s="561"/>
      <c r="S75" s="561"/>
      <c r="T75" s="561"/>
      <c r="U75" s="561"/>
      <c r="V75" s="561"/>
      <c r="W75" s="644"/>
      <c r="X75" s="644"/>
      <c r="Y75" s="644"/>
      <c r="Z75" s="644"/>
      <c r="AA75" s="644"/>
      <c r="AB75" s="644"/>
      <c r="AC75" s="644"/>
      <c r="AD75" s="644"/>
      <c r="AE75" s="644"/>
      <c r="AF75" s="644"/>
      <c r="AG75" s="644"/>
      <c r="AH75" s="644"/>
      <c r="AI75" s="644"/>
      <c r="AJ75" s="644"/>
      <c r="AK75" s="644"/>
      <c r="AL75" s="644"/>
      <c r="AM75" s="644"/>
      <c r="AN75" s="644"/>
      <c r="AO75" s="644"/>
      <c r="AP75" s="644"/>
      <c r="AQ75" s="644"/>
      <c r="AR75" s="644"/>
      <c r="AS75" s="644"/>
      <c r="AT75" s="644"/>
      <c r="AU75" s="644"/>
      <c r="AV75" s="644"/>
      <c r="AW75" s="644"/>
      <c r="AX75" s="81"/>
      <c r="AY75" s="644"/>
      <c r="AZ75" s="644"/>
      <c r="BA75" s="644"/>
      <c r="BB75" s="644"/>
      <c r="BC75" s="644"/>
      <c r="BD75" s="644"/>
      <c r="BE75" s="644"/>
      <c r="BF75" s="645"/>
      <c r="BG75" s="645"/>
      <c r="BH75" s="645"/>
      <c r="BI75" s="645"/>
      <c r="BJ75" s="644"/>
    </row>
    <row r="76" spans="1:62">
      <c r="A76" s="561"/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636"/>
      <c r="M76" s="561"/>
      <c r="N76" s="313"/>
      <c r="O76" s="313"/>
      <c r="P76" s="561"/>
      <c r="Q76" s="561"/>
      <c r="R76" s="561"/>
      <c r="S76" s="561"/>
      <c r="T76" s="561"/>
      <c r="U76" s="561"/>
      <c r="V76" s="561"/>
      <c r="W76" s="644"/>
      <c r="X76" s="644"/>
      <c r="Y76" s="644"/>
      <c r="Z76" s="644"/>
      <c r="AA76" s="644"/>
      <c r="AB76" s="644"/>
      <c r="AC76" s="644"/>
      <c r="AD76" s="644"/>
      <c r="AE76" s="644"/>
      <c r="AF76" s="644"/>
      <c r="AG76" s="644"/>
      <c r="AH76" s="644"/>
      <c r="AI76" s="644"/>
      <c r="AJ76" s="644"/>
      <c r="AK76" s="644"/>
      <c r="AL76" s="644"/>
      <c r="AM76" s="644"/>
      <c r="AN76" s="644"/>
      <c r="AO76" s="644"/>
      <c r="AP76" s="644"/>
      <c r="AQ76" s="644"/>
      <c r="AR76" s="644"/>
      <c r="AS76" s="644"/>
      <c r="AT76" s="644"/>
      <c r="AU76" s="644"/>
      <c r="AV76" s="644"/>
      <c r="AW76" s="644"/>
      <c r="AX76" s="81"/>
      <c r="AY76" s="644"/>
      <c r="AZ76" s="644"/>
      <c r="BA76" s="644"/>
      <c r="BB76" s="644"/>
      <c r="BC76" s="644"/>
      <c r="BD76" s="644"/>
      <c r="BE76" s="644"/>
      <c r="BF76" s="645"/>
      <c r="BG76" s="645"/>
      <c r="BH76" s="645"/>
      <c r="BI76" s="645"/>
      <c r="BJ76" s="644"/>
    </row>
    <row r="77" spans="1:62">
      <c r="A77" s="561"/>
      <c r="B77" s="561"/>
      <c r="C77" s="561"/>
      <c r="D77" s="561"/>
      <c r="E77" s="561"/>
      <c r="F77" s="561"/>
      <c r="G77" s="561"/>
      <c r="H77" s="561"/>
      <c r="I77" s="561"/>
      <c r="J77" s="561"/>
      <c r="K77" s="561"/>
      <c r="L77" s="636"/>
      <c r="M77" s="561"/>
      <c r="N77" s="313"/>
      <c r="O77" s="313"/>
      <c r="P77" s="561"/>
      <c r="Q77" s="561"/>
      <c r="R77" s="561"/>
      <c r="S77" s="561"/>
      <c r="T77" s="561"/>
      <c r="U77" s="561"/>
      <c r="V77" s="561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644"/>
      <c r="AJ77" s="644"/>
      <c r="AK77" s="644"/>
      <c r="AL77" s="644"/>
      <c r="AM77" s="644"/>
      <c r="AN77" s="644"/>
      <c r="AO77" s="644"/>
      <c r="AP77" s="644"/>
      <c r="AQ77" s="644"/>
      <c r="AR77" s="644"/>
      <c r="AS77" s="644"/>
      <c r="AT77" s="644"/>
      <c r="AU77" s="644"/>
      <c r="AV77" s="644"/>
      <c r="AW77" s="644"/>
      <c r="AX77" s="81"/>
      <c r="AY77" s="644"/>
      <c r="AZ77" s="644"/>
      <c r="BA77" s="644"/>
      <c r="BB77" s="644"/>
      <c r="BC77" s="644"/>
      <c r="BD77" s="644"/>
      <c r="BE77" s="644"/>
      <c r="BF77" s="645"/>
      <c r="BG77" s="645"/>
      <c r="BH77" s="645"/>
      <c r="BI77" s="645"/>
      <c r="BJ77" s="644"/>
    </row>
    <row r="78" spans="1:62">
      <c r="A78" s="561"/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636"/>
      <c r="M78" s="561"/>
      <c r="N78" s="313"/>
      <c r="O78" s="313"/>
      <c r="P78" s="561"/>
      <c r="Q78" s="561"/>
      <c r="R78" s="561"/>
      <c r="S78" s="561"/>
      <c r="T78" s="561"/>
      <c r="U78" s="561"/>
      <c r="V78" s="561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644"/>
      <c r="AJ78" s="644"/>
      <c r="AK78" s="644"/>
      <c r="AL78" s="644"/>
      <c r="AM78" s="644"/>
      <c r="AN78" s="644"/>
      <c r="AO78" s="644"/>
      <c r="AP78" s="644"/>
      <c r="AQ78" s="644"/>
      <c r="AR78" s="644"/>
      <c r="AS78" s="644"/>
      <c r="AT78" s="644"/>
      <c r="AU78" s="644"/>
      <c r="AV78" s="644"/>
      <c r="AW78" s="644"/>
      <c r="AX78" s="81"/>
      <c r="AY78" s="644"/>
      <c r="AZ78" s="644"/>
      <c r="BA78" s="644"/>
      <c r="BB78" s="644"/>
      <c r="BC78" s="644"/>
      <c r="BD78" s="644"/>
      <c r="BE78" s="644"/>
      <c r="BF78" s="645"/>
      <c r="BG78" s="645"/>
      <c r="BH78" s="645"/>
      <c r="BI78" s="645"/>
      <c r="BJ78" s="644"/>
    </row>
    <row r="79" spans="1:62">
      <c r="A79" s="561"/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636"/>
      <c r="M79" s="561"/>
      <c r="N79" s="313"/>
      <c r="O79" s="313"/>
      <c r="P79" s="561"/>
      <c r="Q79" s="561"/>
      <c r="R79" s="561"/>
      <c r="S79" s="561"/>
      <c r="T79" s="561"/>
      <c r="U79" s="561"/>
      <c r="V79" s="561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644"/>
      <c r="AJ79" s="644"/>
      <c r="AK79" s="644"/>
      <c r="AL79" s="644"/>
      <c r="AM79" s="644"/>
      <c r="AN79" s="644"/>
      <c r="AO79" s="644"/>
      <c r="AP79" s="644"/>
      <c r="AQ79" s="644"/>
      <c r="AR79" s="644"/>
      <c r="AS79" s="644"/>
      <c r="AT79" s="644"/>
      <c r="AU79" s="644"/>
      <c r="AV79" s="644"/>
      <c r="AW79" s="644"/>
      <c r="AX79" s="81"/>
      <c r="AY79" s="644"/>
      <c r="AZ79" s="644"/>
      <c r="BA79" s="644"/>
      <c r="BB79" s="644"/>
      <c r="BC79" s="644"/>
      <c r="BD79" s="644"/>
      <c r="BE79" s="644"/>
      <c r="BF79" s="645"/>
      <c r="BG79" s="645"/>
      <c r="BH79" s="645"/>
      <c r="BI79" s="645"/>
      <c r="BJ79" s="644"/>
    </row>
    <row r="80" spans="1:62">
      <c r="A80" s="561"/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636"/>
      <c r="M80" s="561"/>
      <c r="N80" s="313"/>
      <c r="O80" s="313"/>
      <c r="P80" s="561"/>
      <c r="Q80" s="561"/>
      <c r="R80" s="561"/>
      <c r="S80" s="561"/>
      <c r="T80" s="561"/>
      <c r="U80" s="561"/>
      <c r="V80" s="561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644"/>
      <c r="AJ80" s="644"/>
      <c r="AK80" s="644"/>
      <c r="AL80" s="644"/>
      <c r="AM80" s="644"/>
      <c r="AN80" s="644"/>
      <c r="AO80" s="644"/>
      <c r="AP80" s="644"/>
      <c r="AQ80" s="644"/>
      <c r="AR80" s="644"/>
      <c r="AS80" s="644"/>
      <c r="AT80" s="644"/>
      <c r="AU80" s="644"/>
      <c r="AV80" s="644"/>
      <c r="AW80" s="644"/>
      <c r="AX80" s="81"/>
      <c r="AY80" s="644"/>
      <c r="AZ80" s="644"/>
      <c r="BA80" s="644"/>
      <c r="BB80" s="644"/>
      <c r="BC80" s="644"/>
      <c r="BD80" s="644"/>
      <c r="BE80" s="644"/>
      <c r="BF80" s="645"/>
      <c r="BG80" s="645"/>
      <c r="BH80" s="645"/>
      <c r="BI80" s="645"/>
      <c r="BJ80" s="644"/>
    </row>
    <row r="81" spans="1:62">
      <c r="A81" s="561"/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636"/>
      <c r="M81" s="561"/>
      <c r="N81" s="313"/>
      <c r="O81" s="313"/>
      <c r="P81" s="561"/>
      <c r="Q81" s="561"/>
      <c r="R81" s="561"/>
      <c r="S81" s="561"/>
      <c r="T81" s="561"/>
      <c r="U81" s="561"/>
      <c r="V81" s="561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644"/>
      <c r="AJ81" s="644"/>
      <c r="AK81" s="644"/>
      <c r="AL81" s="644"/>
      <c r="AM81" s="644"/>
      <c r="AN81" s="644"/>
      <c r="AO81" s="644"/>
      <c r="AP81" s="644"/>
      <c r="AQ81" s="644"/>
      <c r="AR81" s="644"/>
      <c r="AS81" s="644"/>
      <c r="AT81" s="644"/>
      <c r="AU81" s="644"/>
      <c r="AV81" s="644"/>
      <c r="AW81" s="644"/>
      <c r="AX81" s="81"/>
      <c r="AY81" s="644"/>
      <c r="AZ81" s="644"/>
      <c r="BA81" s="644"/>
      <c r="BB81" s="644"/>
      <c r="BC81" s="644"/>
      <c r="BD81" s="644"/>
      <c r="BE81" s="644"/>
      <c r="BF81" s="645"/>
      <c r="BG81" s="645"/>
      <c r="BH81" s="645"/>
      <c r="BI81" s="645"/>
      <c r="BJ81" s="644"/>
    </row>
    <row r="82" spans="1:62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636"/>
      <c r="M82" s="561"/>
      <c r="N82" s="313"/>
      <c r="O82" s="313"/>
      <c r="P82" s="561"/>
      <c r="Q82" s="561"/>
      <c r="R82" s="561"/>
      <c r="S82" s="561"/>
      <c r="T82" s="561"/>
      <c r="U82" s="561"/>
      <c r="V82" s="561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644"/>
      <c r="AJ82" s="644"/>
      <c r="AK82" s="644"/>
      <c r="AL82" s="644"/>
      <c r="AM82" s="644"/>
      <c r="AN82" s="644"/>
      <c r="AO82" s="644"/>
      <c r="AP82" s="644"/>
      <c r="AQ82" s="644"/>
      <c r="AR82" s="644"/>
      <c r="AS82" s="644"/>
      <c r="AT82" s="644"/>
      <c r="AU82" s="644"/>
      <c r="AV82" s="644"/>
      <c r="AW82" s="644"/>
      <c r="AX82" s="81"/>
      <c r="AY82" s="644"/>
      <c r="AZ82" s="644"/>
      <c r="BA82" s="644"/>
      <c r="BB82" s="644"/>
      <c r="BC82" s="644"/>
      <c r="BD82" s="644"/>
      <c r="BE82" s="644"/>
      <c r="BF82" s="645"/>
      <c r="BG82" s="645"/>
      <c r="BH82" s="645"/>
      <c r="BI82" s="645"/>
      <c r="BJ82" s="644"/>
    </row>
    <row r="83" spans="1:62">
      <c r="A83" s="561"/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636"/>
      <c r="M83" s="561"/>
      <c r="N83" s="313"/>
      <c r="O83" s="313"/>
      <c r="P83" s="561"/>
      <c r="Q83" s="561"/>
      <c r="R83" s="561"/>
      <c r="S83" s="561"/>
      <c r="T83" s="561"/>
      <c r="U83" s="561"/>
      <c r="V83" s="561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644"/>
      <c r="AJ83" s="644"/>
      <c r="AK83" s="644"/>
      <c r="AL83" s="644"/>
      <c r="AM83" s="644"/>
      <c r="AN83" s="644"/>
      <c r="AO83" s="644"/>
      <c r="AP83" s="644"/>
      <c r="AQ83" s="644"/>
      <c r="AR83" s="644"/>
      <c r="AS83" s="644"/>
      <c r="AT83" s="644"/>
      <c r="AU83" s="644"/>
      <c r="AV83" s="644"/>
      <c r="AW83" s="644"/>
      <c r="AX83" s="81"/>
      <c r="AY83" s="644"/>
      <c r="AZ83" s="644"/>
      <c r="BA83" s="644"/>
      <c r="BB83" s="644"/>
      <c r="BC83" s="644"/>
      <c r="BD83" s="644"/>
      <c r="BE83" s="644"/>
      <c r="BF83" s="645"/>
      <c r="BG83" s="645"/>
      <c r="BH83" s="645"/>
      <c r="BI83" s="645"/>
      <c r="BJ83" s="644"/>
    </row>
    <row r="84" spans="1:62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636"/>
      <c r="M84" s="561"/>
      <c r="N84" s="313"/>
      <c r="O84" s="313"/>
      <c r="P84" s="561"/>
      <c r="Q84" s="561"/>
      <c r="R84" s="561"/>
      <c r="S84" s="561"/>
      <c r="T84" s="561"/>
      <c r="U84" s="561"/>
      <c r="V84" s="561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644"/>
      <c r="AJ84" s="644"/>
      <c r="AK84" s="644"/>
      <c r="AL84" s="644"/>
      <c r="AM84" s="644"/>
      <c r="AN84" s="644"/>
      <c r="AO84" s="644"/>
      <c r="AP84" s="644"/>
      <c r="AQ84" s="644"/>
      <c r="AR84" s="644"/>
      <c r="AS84" s="644"/>
      <c r="AT84" s="644"/>
      <c r="AU84" s="644"/>
      <c r="AV84" s="644"/>
      <c r="AW84" s="644"/>
      <c r="AX84" s="81"/>
      <c r="AY84" s="644"/>
      <c r="AZ84" s="644"/>
      <c r="BA84" s="644"/>
      <c r="BB84" s="644"/>
      <c r="BC84" s="644"/>
      <c r="BD84" s="644"/>
      <c r="BE84" s="644"/>
      <c r="BF84" s="645"/>
      <c r="BG84" s="645"/>
      <c r="BH84" s="645"/>
      <c r="BI84" s="645"/>
      <c r="BJ84" s="644"/>
    </row>
    <row r="85" spans="1:62">
      <c r="A85" s="561"/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636"/>
      <c r="M85" s="561"/>
      <c r="N85" s="313"/>
      <c r="O85" s="313"/>
      <c r="P85" s="561"/>
      <c r="Q85" s="561"/>
      <c r="R85" s="561"/>
      <c r="S85" s="561"/>
      <c r="T85" s="561"/>
      <c r="U85" s="561"/>
      <c r="V85" s="561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44"/>
      <c r="AL85" s="644"/>
      <c r="AM85" s="644"/>
      <c r="AN85" s="644"/>
      <c r="AO85" s="644"/>
      <c r="AP85" s="644"/>
      <c r="AQ85" s="644"/>
      <c r="AR85" s="644"/>
      <c r="AS85" s="644"/>
      <c r="AT85" s="644"/>
      <c r="AU85" s="644"/>
      <c r="AV85" s="644"/>
      <c r="AW85" s="644"/>
      <c r="AX85" s="81"/>
      <c r="AY85" s="644"/>
      <c r="AZ85" s="644"/>
      <c r="BA85" s="644"/>
      <c r="BB85" s="644"/>
      <c r="BC85" s="644"/>
      <c r="BD85" s="644"/>
      <c r="BE85" s="644"/>
      <c r="BF85" s="645"/>
      <c r="BG85" s="645"/>
      <c r="BH85" s="645"/>
      <c r="BI85" s="645"/>
      <c r="BJ85" s="644"/>
    </row>
    <row r="86" spans="1:62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636"/>
      <c r="M86" s="561"/>
      <c r="N86" s="313"/>
      <c r="O86" s="313"/>
      <c r="P86" s="561"/>
      <c r="Q86" s="561"/>
      <c r="R86" s="561"/>
      <c r="S86" s="561"/>
      <c r="T86" s="561"/>
      <c r="U86" s="561"/>
      <c r="V86" s="561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44"/>
      <c r="AL86" s="644"/>
      <c r="AM86" s="644"/>
      <c r="AN86" s="644"/>
      <c r="AO86" s="644"/>
      <c r="AP86" s="644"/>
      <c r="AQ86" s="644"/>
      <c r="AR86" s="644"/>
      <c r="AS86" s="644"/>
      <c r="AT86" s="644"/>
      <c r="AU86" s="644"/>
      <c r="AV86" s="644"/>
      <c r="AW86" s="644"/>
      <c r="AX86" s="81"/>
      <c r="AY86" s="644"/>
      <c r="AZ86" s="644"/>
      <c r="BA86" s="644"/>
      <c r="BB86" s="644"/>
      <c r="BC86" s="644"/>
      <c r="BD86" s="644"/>
      <c r="BE86" s="644"/>
      <c r="BF86" s="645"/>
      <c r="BG86" s="645"/>
      <c r="BH86" s="645"/>
      <c r="BI86" s="645"/>
      <c r="BJ86" s="644"/>
    </row>
    <row r="87" spans="1:62">
      <c r="A87" s="561"/>
      <c r="B87" s="561"/>
      <c r="C87" s="561"/>
      <c r="D87" s="561"/>
      <c r="E87" s="561"/>
      <c r="F87" s="561"/>
      <c r="G87" s="561"/>
      <c r="H87" s="561"/>
      <c r="I87" s="561"/>
      <c r="J87" s="561"/>
      <c r="K87" s="561"/>
      <c r="L87" s="636"/>
      <c r="M87" s="561"/>
      <c r="N87" s="313"/>
      <c r="O87" s="313"/>
      <c r="P87" s="561"/>
      <c r="Q87" s="561"/>
      <c r="R87" s="561"/>
      <c r="S87" s="561"/>
      <c r="T87" s="561"/>
      <c r="U87" s="561"/>
      <c r="V87" s="561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4"/>
      <c r="AL87" s="644"/>
      <c r="AM87" s="644"/>
      <c r="AN87" s="644"/>
      <c r="AO87" s="644"/>
      <c r="AP87" s="644"/>
      <c r="AQ87" s="644"/>
      <c r="AR87" s="644"/>
      <c r="AS87" s="644"/>
      <c r="AT87" s="644"/>
      <c r="AU87" s="644"/>
      <c r="AV87" s="644"/>
      <c r="AW87" s="644"/>
      <c r="AX87" s="81"/>
      <c r="AY87" s="644"/>
      <c r="AZ87" s="644"/>
      <c r="BA87" s="644"/>
      <c r="BB87" s="644"/>
      <c r="BC87" s="644"/>
      <c r="BD87" s="644"/>
      <c r="BE87" s="644"/>
      <c r="BF87" s="645"/>
      <c r="BG87" s="645"/>
      <c r="BH87" s="645"/>
      <c r="BI87" s="645"/>
      <c r="BJ87" s="644"/>
    </row>
    <row r="88" spans="1:62">
      <c r="A88" s="561"/>
      <c r="B88" s="561"/>
      <c r="C88" s="561"/>
      <c r="D88" s="561"/>
      <c r="E88" s="561"/>
      <c r="F88" s="561"/>
      <c r="G88" s="561"/>
      <c r="H88" s="561"/>
      <c r="I88" s="561"/>
      <c r="J88" s="561"/>
      <c r="K88" s="561"/>
      <c r="L88" s="636"/>
      <c r="M88" s="561"/>
      <c r="N88" s="313"/>
      <c r="O88" s="313"/>
      <c r="P88" s="561"/>
      <c r="Q88" s="561"/>
      <c r="R88" s="561"/>
      <c r="S88" s="561"/>
      <c r="T88" s="561"/>
      <c r="U88" s="561"/>
      <c r="V88" s="561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  <c r="AV88" s="644"/>
      <c r="AW88" s="644"/>
      <c r="AX88" s="81"/>
      <c r="AY88" s="644"/>
      <c r="AZ88" s="644"/>
      <c r="BA88" s="644"/>
      <c r="BB88" s="644"/>
      <c r="BC88" s="644"/>
      <c r="BD88" s="644"/>
      <c r="BE88" s="644"/>
      <c r="BF88" s="645"/>
      <c r="BG88" s="645"/>
      <c r="BH88" s="645"/>
      <c r="BI88" s="645"/>
      <c r="BJ88" s="644"/>
    </row>
    <row r="89" spans="1:62">
      <c r="A89" s="561"/>
      <c r="B89" s="561"/>
      <c r="C89" s="561"/>
      <c r="D89" s="561"/>
      <c r="E89" s="561"/>
      <c r="F89" s="561"/>
      <c r="G89" s="561"/>
      <c r="H89" s="561"/>
      <c r="I89" s="561"/>
      <c r="J89" s="561"/>
      <c r="K89" s="561"/>
      <c r="L89" s="636"/>
      <c r="M89" s="561"/>
      <c r="N89" s="313"/>
      <c r="O89" s="313"/>
      <c r="P89" s="561"/>
      <c r="Q89" s="561"/>
      <c r="R89" s="561"/>
      <c r="S89" s="561"/>
      <c r="T89" s="561"/>
      <c r="U89" s="561"/>
      <c r="V89" s="561"/>
      <c r="W89" s="644"/>
      <c r="X89" s="644"/>
      <c r="Y89" s="644"/>
      <c r="Z89" s="644"/>
      <c r="AA89" s="644"/>
      <c r="AB89" s="644"/>
      <c r="AC89" s="644"/>
      <c r="AD89" s="644"/>
      <c r="AE89" s="644"/>
      <c r="AF89" s="644"/>
      <c r="AG89" s="644"/>
      <c r="AH89" s="644"/>
      <c r="AI89" s="644"/>
      <c r="AJ89" s="644"/>
      <c r="AK89" s="644"/>
      <c r="AL89" s="644"/>
      <c r="AM89" s="644"/>
      <c r="AN89" s="644"/>
      <c r="AO89" s="644"/>
      <c r="AP89" s="644"/>
      <c r="AQ89" s="644"/>
      <c r="AR89" s="644"/>
      <c r="AS89" s="644"/>
      <c r="AT89" s="644"/>
      <c r="AU89" s="644"/>
      <c r="AV89" s="644"/>
      <c r="AW89" s="644"/>
      <c r="AX89" s="81"/>
      <c r="AY89" s="644"/>
      <c r="AZ89" s="644"/>
      <c r="BA89" s="644"/>
      <c r="BB89" s="644"/>
      <c r="BC89" s="644"/>
      <c r="BD89" s="644"/>
      <c r="BE89" s="644"/>
      <c r="BF89" s="645"/>
      <c r="BG89" s="645"/>
      <c r="BH89" s="645"/>
      <c r="BI89" s="645"/>
      <c r="BJ89" s="644"/>
    </row>
    <row r="90" spans="1:62">
      <c r="A90" s="561"/>
      <c r="B90" s="561"/>
      <c r="C90" s="561"/>
      <c r="D90" s="561"/>
      <c r="E90" s="561"/>
      <c r="F90" s="561"/>
      <c r="G90" s="561"/>
      <c r="H90" s="561"/>
      <c r="I90" s="561"/>
      <c r="J90" s="561"/>
      <c r="K90" s="561"/>
      <c r="L90" s="636"/>
      <c r="M90" s="561"/>
      <c r="N90" s="313"/>
      <c r="O90" s="313"/>
      <c r="P90" s="561"/>
      <c r="Q90" s="561"/>
      <c r="R90" s="561"/>
      <c r="S90" s="561"/>
      <c r="T90" s="561"/>
      <c r="U90" s="561"/>
      <c r="V90" s="561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44"/>
      <c r="AI90" s="644"/>
      <c r="AJ90" s="644"/>
      <c r="AK90" s="644"/>
      <c r="AL90" s="644"/>
      <c r="AM90" s="644"/>
      <c r="AN90" s="644"/>
      <c r="AO90" s="644"/>
      <c r="AP90" s="644"/>
      <c r="AQ90" s="644"/>
      <c r="AR90" s="644"/>
      <c r="AS90" s="644"/>
      <c r="AT90" s="644"/>
      <c r="AU90" s="644"/>
      <c r="AV90" s="644"/>
      <c r="AW90" s="644"/>
      <c r="AX90" s="81"/>
      <c r="AY90" s="644"/>
      <c r="AZ90" s="644"/>
      <c r="BA90" s="644"/>
      <c r="BB90" s="644"/>
      <c r="BC90" s="644"/>
      <c r="BD90" s="644"/>
      <c r="BE90" s="644"/>
      <c r="BF90" s="645"/>
      <c r="BG90" s="645"/>
      <c r="BH90" s="645"/>
      <c r="BI90" s="645"/>
      <c r="BJ90" s="644"/>
    </row>
    <row r="91" spans="1:62">
      <c r="A91" s="561"/>
      <c r="B91" s="561"/>
      <c r="C91" s="561"/>
      <c r="D91" s="561"/>
      <c r="E91" s="561"/>
      <c r="F91" s="561"/>
      <c r="G91" s="561"/>
      <c r="H91" s="561"/>
      <c r="I91" s="561"/>
      <c r="J91" s="561"/>
      <c r="K91" s="561"/>
      <c r="L91" s="636"/>
      <c r="M91" s="561"/>
      <c r="N91" s="313"/>
      <c r="O91" s="313"/>
      <c r="P91" s="561"/>
      <c r="Q91" s="561"/>
      <c r="R91" s="561"/>
      <c r="S91" s="561"/>
      <c r="T91" s="561"/>
      <c r="U91" s="561"/>
      <c r="V91" s="561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  <c r="AV91" s="644"/>
      <c r="AW91" s="644"/>
      <c r="AX91" s="81"/>
      <c r="AY91" s="644"/>
      <c r="AZ91" s="644"/>
      <c r="BA91" s="644"/>
      <c r="BB91" s="644"/>
      <c r="BC91" s="644"/>
      <c r="BD91" s="644"/>
      <c r="BE91" s="644"/>
      <c r="BF91" s="645"/>
      <c r="BG91" s="645"/>
      <c r="BH91" s="645"/>
      <c r="BI91" s="645"/>
      <c r="BJ91" s="644"/>
    </row>
    <row r="92" spans="1:62">
      <c r="A92" s="561"/>
      <c r="B92" s="561"/>
      <c r="C92" s="561"/>
      <c r="D92" s="561"/>
      <c r="E92" s="561"/>
      <c r="F92" s="561"/>
      <c r="G92" s="561"/>
      <c r="H92" s="561"/>
      <c r="I92" s="561"/>
      <c r="J92" s="561"/>
      <c r="K92" s="561"/>
      <c r="L92" s="636"/>
      <c r="M92" s="561"/>
      <c r="N92" s="313"/>
      <c r="O92" s="313"/>
      <c r="P92" s="561"/>
      <c r="Q92" s="561"/>
      <c r="R92" s="561"/>
      <c r="S92" s="561"/>
      <c r="T92" s="561"/>
      <c r="U92" s="561"/>
      <c r="V92" s="561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  <c r="AV92" s="644"/>
      <c r="AW92" s="644"/>
      <c r="AX92" s="81"/>
      <c r="AY92" s="644"/>
      <c r="AZ92" s="644"/>
      <c r="BA92" s="644"/>
      <c r="BB92" s="644"/>
      <c r="BC92" s="644"/>
      <c r="BD92" s="644"/>
      <c r="BE92" s="644"/>
      <c r="BF92" s="645"/>
      <c r="BG92" s="645"/>
      <c r="BH92" s="645"/>
      <c r="BI92" s="645"/>
      <c r="BJ92" s="644"/>
    </row>
    <row r="93" spans="1:62">
      <c r="A93" s="561"/>
      <c r="B93" s="561"/>
      <c r="C93" s="561"/>
      <c r="D93" s="561"/>
      <c r="E93" s="561"/>
      <c r="F93" s="561"/>
      <c r="G93" s="561"/>
      <c r="H93" s="561"/>
      <c r="I93" s="561"/>
      <c r="J93" s="561"/>
      <c r="K93" s="561"/>
      <c r="L93" s="636"/>
      <c r="M93" s="561"/>
      <c r="N93" s="313"/>
      <c r="O93" s="313"/>
      <c r="P93" s="561"/>
      <c r="Q93" s="561"/>
      <c r="R93" s="561"/>
      <c r="S93" s="561"/>
      <c r="T93" s="561"/>
      <c r="U93" s="561"/>
      <c r="V93" s="561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81"/>
      <c r="AY93" s="644"/>
      <c r="AZ93" s="644"/>
      <c r="BA93" s="644"/>
      <c r="BB93" s="644"/>
      <c r="BC93" s="644"/>
      <c r="BD93" s="644"/>
      <c r="BE93" s="644"/>
      <c r="BF93" s="645"/>
      <c r="BG93" s="645"/>
      <c r="BH93" s="645"/>
      <c r="BI93" s="645"/>
      <c r="BJ93" s="644"/>
    </row>
    <row r="94" spans="1:62">
      <c r="A94" s="561"/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636"/>
      <c r="M94" s="561"/>
      <c r="N94" s="313"/>
      <c r="O94" s="313"/>
      <c r="P94" s="561"/>
      <c r="Q94" s="561"/>
      <c r="R94" s="561"/>
      <c r="S94" s="561"/>
      <c r="T94" s="561"/>
      <c r="U94" s="561"/>
      <c r="V94" s="561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44"/>
      <c r="AI94" s="644"/>
      <c r="AJ94" s="644"/>
      <c r="AK94" s="644"/>
      <c r="AL94" s="644"/>
      <c r="AM94" s="644"/>
      <c r="AN94" s="644"/>
      <c r="AO94" s="644"/>
      <c r="AP94" s="644"/>
      <c r="AQ94" s="644"/>
      <c r="AR94" s="644"/>
      <c r="AS94" s="644"/>
      <c r="AT94" s="644"/>
      <c r="AU94" s="644"/>
      <c r="AV94" s="644"/>
      <c r="AW94" s="644"/>
      <c r="AX94" s="81"/>
      <c r="AY94" s="644"/>
      <c r="AZ94" s="644"/>
      <c r="BA94" s="644"/>
      <c r="BB94" s="644"/>
      <c r="BC94" s="644"/>
      <c r="BD94" s="644"/>
      <c r="BE94" s="644"/>
      <c r="BF94" s="645"/>
      <c r="BG94" s="645"/>
      <c r="BH94" s="645"/>
      <c r="BI94" s="645"/>
      <c r="BJ94" s="644"/>
    </row>
    <row r="95" spans="1:62">
      <c r="A95" s="561"/>
      <c r="B95" s="561"/>
      <c r="C95" s="561"/>
      <c r="D95" s="561"/>
      <c r="E95" s="561"/>
      <c r="F95" s="561"/>
      <c r="G95" s="561"/>
      <c r="H95" s="561"/>
      <c r="I95" s="561"/>
      <c r="J95" s="561"/>
      <c r="K95" s="561"/>
      <c r="L95" s="636"/>
      <c r="M95" s="561"/>
      <c r="N95" s="313"/>
      <c r="O95" s="313"/>
      <c r="P95" s="561"/>
      <c r="Q95" s="561"/>
      <c r="R95" s="561"/>
      <c r="S95" s="561"/>
      <c r="T95" s="561"/>
      <c r="U95" s="561"/>
      <c r="V95" s="561"/>
      <c r="W95" s="644"/>
      <c r="X95" s="644"/>
      <c r="Y95" s="644"/>
      <c r="Z95" s="644"/>
      <c r="AA95" s="644"/>
      <c r="AB95" s="644"/>
      <c r="AC95" s="644"/>
      <c r="AD95" s="644"/>
      <c r="AE95" s="644"/>
      <c r="AF95" s="644"/>
      <c r="AG95" s="644"/>
      <c r="AH95" s="644"/>
      <c r="AI95" s="644"/>
      <c r="AJ95" s="644"/>
      <c r="AK95" s="644"/>
      <c r="AL95" s="644"/>
      <c r="AM95" s="644"/>
      <c r="AN95" s="644"/>
      <c r="AO95" s="644"/>
      <c r="AP95" s="644"/>
      <c r="AQ95" s="644"/>
      <c r="AR95" s="644"/>
      <c r="AS95" s="644"/>
      <c r="AT95" s="644"/>
      <c r="AU95" s="644"/>
      <c r="AV95" s="644"/>
      <c r="AW95" s="644"/>
      <c r="AX95" s="81"/>
      <c r="AY95" s="644"/>
      <c r="AZ95" s="644"/>
      <c r="BA95" s="644"/>
      <c r="BB95" s="644"/>
      <c r="BC95" s="644"/>
      <c r="BD95" s="644"/>
      <c r="BE95" s="644"/>
      <c r="BF95" s="645"/>
      <c r="BG95" s="645"/>
      <c r="BH95" s="645"/>
      <c r="BI95" s="645"/>
      <c r="BJ95" s="644"/>
    </row>
    <row r="96" spans="1:62">
      <c r="A96" s="561"/>
      <c r="B96" s="561"/>
      <c r="C96" s="561"/>
      <c r="D96" s="561"/>
      <c r="E96" s="561"/>
      <c r="F96" s="561"/>
      <c r="G96" s="561"/>
      <c r="H96" s="561"/>
      <c r="I96" s="561"/>
      <c r="J96" s="561"/>
      <c r="K96" s="561"/>
      <c r="L96" s="636"/>
      <c r="M96" s="561"/>
      <c r="N96" s="313"/>
      <c r="O96" s="313"/>
      <c r="P96" s="561"/>
      <c r="Q96" s="561"/>
      <c r="R96" s="561"/>
      <c r="S96" s="561"/>
      <c r="T96" s="561"/>
      <c r="U96" s="561"/>
      <c r="V96" s="561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644"/>
      <c r="AK96" s="644"/>
      <c r="AL96" s="644"/>
      <c r="AM96" s="644"/>
      <c r="AN96" s="644"/>
      <c r="AO96" s="644"/>
      <c r="AP96" s="644"/>
      <c r="AQ96" s="644"/>
      <c r="AR96" s="644"/>
      <c r="AS96" s="644"/>
      <c r="AT96" s="644"/>
      <c r="AU96" s="644"/>
      <c r="AV96" s="644"/>
      <c r="AW96" s="644"/>
      <c r="AX96" s="81"/>
      <c r="AY96" s="644"/>
      <c r="AZ96" s="644"/>
      <c r="BA96" s="644"/>
      <c r="BB96" s="644"/>
      <c r="BC96" s="644"/>
      <c r="BD96" s="644"/>
      <c r="BE96" s="644"/>
      <c r="BF96" s="645"/>
      <c r="BG96" s="645"/>
      <c r="BH96" s="645"/>
      <c r="BI96" s="645"/>
      <c r="BJ96" s="644"/>
    </row>
    <row r="97" spans="1:62">
      <c r="A97" s="561"/>
      <c r="B97" s="561"/>
      <c r="C97" s="561"/>
      <c r="D97" s="561"/>
      <c r="E97" s="561"/>
      <c r="F97" s="561"/>
      <c r="G97" s="561"/>
      <c r="H97" s="561"/>
      <c r="I97" s="561"/>
      <c r="J97" s="561"/>
      <c r="K97" s="561"/>
      <c r="L97" s="636"/>
      <c r="M97" s="561"/>
      <c r="N97" s="313"/>
      <c r="O97" s="313"/>
      <c r="P97" s="561"/>
      <c r="Q97" s="561"/>
      <c r="R97" s="561"/>
      <c r="S97" s="561"/>
      <c r="T97" s="561"/>
      <c r="U97" s="561"/>
      <c r="V97" s="561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644"/>
      <c r="AJ97" s="644"/>
      <c r="AK97" s="644"/>
      <c r="AL97" s="644"/>
      <c r="AM97" s="644"/>
      <c r="AN97" s="644"/>
      <c r="AO97" s="644"/>
      <c r="AP97" s="644"/>
      <c r="AQ97" s="644"/>
      <c r="AR97" s="644"/>
      <c r="AS97" s="644"/>
      <c r="AT97" s="644"/>
      <c r="AU97" s="644"/>
      <c r="AV97" s="644"/>
      <c r="AW97" s="644"/>
      <c r="AX97" s="81"/>
      <c r="AY97" s="644"/>
      <c r="AZ97" s="644"/>
      <c r="BA97" s="644"/>
      <c r="BB97" s="644"/>
      <c r="BC97" s="644"/>
      <c r="BD97" s="644"/>
      <c r="BE97" s="644"/>
      <c r="BF97" s="645"/>
      <c r="BG97" s="645"/>
      <c r="BH97" s="645"/>
      <c r="BI97" s="645"/>
      <c r="BJ97" s="644"/>
    </row>
    <row r="98" spans="1:62">
      <c r="A98" s="561"/>
      <c r="B98" s="561"/>
      <c r="C98" s="561"/>
      <c r="D98" s="561"/>
      <c r="E98" s="561"/>
      <c r="F98" s="561"/>
      <c r="G98" s="561"/>
      <c r="H98" s="561"/>
      <c r="I98" s="561"/>
      <c r="J98" s="561"/>
      <c r="K98" s="561"/>
      <c r="L98" s="636"/>
      <c r="M98" s="561"/>
      <c r="N98" s="313"/>
      <c r="O98" s="313"/>
      <c r="P98" s="561"/>
      <c r="Q98" s="561"/>
      <c r="R98" s="561"/>
      <c r="S98" s="561"/>
      <c r="T98" s="561"/>
      <c r="U98" s="561"/>
      <c r="V98" s="561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44"/>
      <c r="AI98" s="644"/>
      <c r="AJ98" s="644"/>
      <c r="AK98" s="644"/>
      <c r="AL98" s="644"/>
      <c r="AM98" s="644"/>
      <c r="AN98" s="644"/>
      <c r="AO98" s="644"/>
      <c r="AP98" s="644"/>
      <c r="AQ98" s="644"/>
      <c r="AR98" s="644"/>
      <c r="AS98" s="644"/>
      <c r="AT98" s="644"/>
      <c r="AU98" s="644"/>
      <c r="AV98" s="644"/>
      <c r="AW98" s="644"/>
      <c r="AX98" s="81"/>
      <c r="AY98" s="644"/>
      <c r="AZ98" s="644"/>
      <c r="BA98" s="644"/>
      <c r="BB98" s="644"/>
      <c r="BC98" s="644"/>
      <c r="BD98" s="644"/>
      <c r="BE98" s="644"/>
      <c r="BF98" s="645"/>
      <c r="BG98" s="645"/>
      <c r="BH98" s="645"/>
      <c r="BI98" s="645"/>
      <c r="BJ98" s="644"/>
    </row>
    <row r="99" spans="1:62">
      <c r="A99" s="561"/>
      <c r="B99" s="561"/>
      <c r="C99" s="561"/>
      <c r="D99" s="561"/>
      <c r="E99" s="561"/>
      <c r="F99" s="561"/>
      <c r="G99" s="561"/>
      <c r="H99" s="561"/>
      <c r="I99" s="561"/>
      <c r="J99" s="561"/>
      <c r="K99" s="561"/>
      <c r="L99" s="636"/>
      <c r="M99" s="561"/>
      <c r="N99" s="313"/>
      <c r="O99" s="313"/>
      <c r="P99" s="561"/>
      <c r="Q99" s="561"/>
      <c r="R99" s="561"/>
      <c r="S99" s="561"/>
      <c r="T99" s="561"/>
      <c r="U99" s="561"/>
      <c r="V99" s="561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44"/>
      <c r="AI99" s="644"/>
      <c r="AJ99" s="644"/>
      <c r="AK99" s="644"/>
      <c r="AL99" s="644"/>
      <c r="AM99" s="644"/>
      <c r="AN99" s="644"/>
      <c r="AO99" s="644"/>
      <c r="AP99" s="644"/>
      <c r="AQ99" s="644"/>
      <c r="AR99" s="644"/>
      <c r="AS99" s="644"/>
      <c r="AT99" s="644"/>
      <c r="AU99" s="644"/>
      <c r="AV99" s="644"/>
      <c r="AW99" s="644"/>
      <c r="AX99" s="81"/>
      <c r="AY99" s="644"/>
      <c r="AZ99" s="644"/>
      <c r="BA99" s="644"/>
      <c r="BB99" s="644"/>
      <c r="BC99" s="644"/>
      <c r="BD99" s="644"/>
      <c r="BE99" s="644"/>
      <c r="BF99" s="645"/>
      <c r="BG99" s="645"/>
      <c r="BH99" s="645"/>
      <c r="BI99" s="645"/>
      <c r="BJ99" s="644"/>
    </row>
    <row r="100" spans="1:62">
      <c r="A100" s="561"/>
      <c r="B100" s="561"/>
      <c r="C100" s="561"/>
      <c r="D100" s="561"/>
      <c r="E100" s="561"/>
      <c r="F100" s="561"/>
      <c r="G100" s="561"/>
      <c r="H100" s="561"/>
      <c r="I100" s="561"/>
      <c r="J100" s="561"/>
      <c r="K100" s="561"/>
      <c r="L100" s="636"/>
      <c r="M100" s="561"/>
      <c r="N100" s="313"/>
      <c r="O100" s="313"/>
      <c r="P100" s="561"/>
      <c r="Q100" s="561"/>
      <c r="R100" s="561"/>
      <c r="S100" s="561"/>
      <c r="T100" s="561"/>
      <c r="U100" s="561"/>
      <c r="V100" s="561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44"/>
      <c r="AH100" s="644"/>
      <c r="AI100" s="644"/>
      <c r="AJ100" s="644"/>
      <c r="AK100" s="644"/>
      <c r="AL100" s="644"/>
      <c r="AM100" s="644"/>
      <c r="AN100" s="644"/>
      <c r="AO100" s="644"/>
      <c r="AP100" s="644"/>
      <c r="AQ100" s="644"/>
      <c r="AR100" s="644"/>
      <c r="AS100" s="644"/>
      <c r="AT100" s="644"/>
      <c r="AU100" s="644"/>
      <c r="AV100" s="644"/>
      <c r="AW100" s="644"/>
      <c r="AX100" s="81"/>
      <c r="AY100" s="644"/>
      <c r="AZ100" s="644"/>
      <c r="BA100" s="644"/>
      <c r="BB100" s="644"/>
      <c r="BC100" s="644"/>
      <c r="BD100" s="644"/>
      <c r="BE100" s="644"/>
      <c r="BF100" s="645"/>
      <c r="BG100" s="645"/>
      <c r="BH100" s="645"/>
      <c r="BI100" s="645"/>
      <c r="BJ100" s="644"/>
    </row>
    <row r="101" spans="1:62">
      <c r="A101" s="561"/>
      <c r="B101" s="561"/>
      <c r="C101" s="561"/>
      <c r="D101" s="561"/>
      <c r="E101" s="561"/>
      <c r="F101" s="561"/>
      <c r="G101" s="561"/>
      <c r="H101" s="561"/>
      <c r="I101" s="561"/>
      <c r="J101" s="561"/>
      <c r="K101" s="561"/>
      <c r="L101" s="636"/>
      <c r="M101" s="561"/>
      <c r="N101" s="313"/>
      <c r="O101" s="313"/>
      <c r="P101" s="561"/>
      <c r="Q101" s="561"/>
      <c r="R101" s="561"/>
      <c r="S101" s="561"/>
      <c r="T101" s="561"/>
      <c r="U101" s="561"/>
      <c r="V101" s="561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44"/>
      <c r="AH101" s="644"/>
      <c r="AI101" s="644"/>
      <c r="AJ101" s="644"/>
      <c r="AK101" s="644"/>
      <c r="AL101" s="644"/>
      <c r="AM101" s="644"/>
      <c r="AN101" s="644"/>
      <c r="AO101" s="644"/>
      <c r="AP101" s="644"/>
      <c r="AQ101" s="644"/>
      <c r="AR101" s="644"/>
      <c r="AS101" s="644"/>
      <c r="AT101" s="644"/>
      <c r="AU101" s="644"/>
      <c r="AV101" s="644"/>
      <c r="AW101" s="644"/>
      <c r="AX101" s="81"/>
      <c r="AY101" s="644"/>
      <c r="AZ101" s="644"/>
      <c r="BA101" s="644"/>
      <c r="BB101" s="644"/>
      <c r="BC101" s="644"/>
      <c r="BD101" s="644"/>
      <c r="BE101" s="644"/>
      <c r="BF101" s="645"/>
      <c r="BG101" s="645"/>
      <c r="BH101" s="645"/>
      <c r="BI101" s="645"/>
      <c r="BJ101" s="644"/>
    </row>
    <row r="102" spans="1:62">
      <c r="A102" s="561"/>
      <c r="B102" s="561"/>
      <c r="C102" s="561"/>
      <c r="D102" s="561"/>
      <c r="E102" s="561"/>
      <c r="F102" s="561"/>
      <c r="G102" s="561"/>
      <c r="H102" s="561"/>
      <c r="I102" s="561"/>
      <c r="J102" s="561"/>
      <c r="K102" s="561"/>
      <c r="L102" s="636"/>
      <c r="M102" s="561"/>
      <c r="N102" s="313"/>
      <c r="O102" s="313"/>
      <c r="P102" s="561"/>
      <c r="Q102" s="561"/>
      <c r="R102" s="561"/>
      <c r="S102" s="561"/>
      <c r="T102" s="561"/>
      <c r="U102" s="561"/>
      <c r="V102" s="561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644"/>
      <c r="AJ102" s="644"/>
      <c r="AK102" s="644"/>
      <c r="AL102" s="644"/>
      <c r="AM102" s="644"/>
      <c r="AN102" s="644"/>
      <c r="AO102" s="644"/>
      <c r="AP102" s="644"/>
      <c r="AQ102" s="644"/>
      <c r="AR102" s="644"/>
      <c r="AS102" s="644"/>
      <c r="AT102" s="644"/>
      <c r="AU102" s="644"/>
      <c r="AV102" s="644"/>
      <c r="AW102" s="644"/>
      <c r="AX102" s="81"/>
      <c r="AY102" s="644"/>
      <c r="AZ102" s="644"/>
      <c r="BA102" s="644"/>
      <c r="BB102" s="644"/>
      <c r="BC102" s="644"/>
      <c r="BD102" s="644"/>
      <c r="BE102" s="644"/>
      <c r="BF102" s="645"/>
      <c r="BG102" s="645"/>
      <c r="BH102" s="645"/>
      <c r="BI102" s="645"/>
      <c r="BJ102" s="644"/>
    </row>
    <row r="103" spans="1:62">
      <c r="A103" s="561"/>
      <c r="B103" s="561"/>
      <c r="C103" s="561"/>
      <c r="D103" s="561"/>
      <c r="E103" s="561"/>
      <c r="F103" s="561"/>
      <c r="G103" s="561"/>
      <c r="H103" s="561"/>
      <c r="I103" s="561"/>
      <c r="J103" s="561"/>
      <c r="K103" s="561"/>
      <c r="L103" s="636"/>
      <c r="M103" s="561"/>
      <c r="N103" s="313"/>
      <c r="O103" s="313"/>
      <c r="P103" s="561"/>
      <c r="Q103" s="561"/>
      <c r="R103" s="561"/>
      <c r="S103" s="561"/>
      <c r="T103" s="561"/>
      <c r="U103" s="561"/>
      <c r="V103" s="561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44"/>
      <c r="AH103" s="644"/>
      <c r="AI103" s="644"/>
      <c r="AJ103" s="644"/>
      <c r="AK103" s="644"/>
      <c r="AL103" s="644"/>
      <c r="AM103" s="644"/>
      <c r="AN103" s="644"/>
      <c r="AO103" s="644"/>
      <c r="AP103" s="644"/>
      <c r="AQ103" s="644"/>
      <c r="AR103" s="644"/>
      <c r="AS103" s="644"/>
      <c r="AT103" s="644"/>
      <c r="AU103" s="644"/>
      <c r="AV103" s="644"/>
      <c r="AW103" s="644"/>
      <c r="AX103" s="81"/>
      <c r="AY103" s="644"/>
      <c r="AZ103" s="644"/>
      <c r="BA103" s="644"/>
      <c r="BB103" s="644"/>
      <c r="BC103" s="644"/>
      <c r="BD103" s="644"/>
      <c r="BE103" s="644"/>
      <c r="BF103" s="645"/>
      <c r="BG103" s="645"/>
      <c r="BH103" s="645"/>
      <c r="BI103" s="645"/>
      <c r="BJ103" s="644"/>
    </row>
    <row r="104" spans="1:62">
      <c r="A104" s="561"/>
      <c r="B104" s="561"/>
      <c r="C104" s="561"/>
      <c r="D104" s="561"/>
      <c r="E104" s="561"/>
      <c r="F104" s="561"/>
      <c r="G104" s="561"/>
      <c r="H104" s="561"/>
      <c r="I104" s="561"/>
      <c r="J104" s="561"/>
      <c r="K104" s="561"/>
      <c r="L104" s="636"/>
      <c r="M104" s="561"/>
      <c r="N104" s="313"/>
      <c r="O104" s="313"/>
      <c r="P104" s="561"/>
      <c r="Q104" s="561"/>
      <c r="R104" s="561"/>
      <c r="S104" s="561"/>
      <c r="T104" s="561"/>
      <c r="U104" s="561"/>
      <c r="V104" s="561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44"/>
      <c r="AH104" s="644"/>
      <c r="AI104" s="644"/>
      <c r="AJ104" s="644"/>
      <c r="AK104" s="644"/>
      <c r="AL104" s="644"/>
      <c r="AM104" s="644"/>
      <c r="AN104" s="644"/>
      <c r="AO104" s="644"/>
      <c r="AP104" s="644"/>
      <c r="AQ104" s="644"/>
      <c r="AR104" s="644"/>
      <c r="AS104" s="644"/>
      <c r="AT104" s="644"/>
      <c r="AU104" s="644"/>
      <c r="AV104" s="644"/>
      <c r="AW104" s="644"/>
      <c r="AX104" s="81"/>
      <c r="AY104" s="644"/>
      <c r="AZ104" s="644"/>
      <c r="BA104" s="644"/>
      <c r="BB104" s="644"/>
      <c r="BC104" s="644"/>
      <c r="BD104" s="644"/>
      <c r="BE104" s="644"/>
      <c r="BF104" s="645"/>
      <c r="BG104" s="645"/>
      <c r="BH104" s="645"/>
      <c r="BI104" s="645"/>
      <c r="BJ104" s="644"/>
    </row>
    <row r="105" spans="1:62">
      <c r="A105" s="561"/>
      <c r="B105" s="561"/>
      <c r="C105" s="561"/>
      <c r="D105" s="561"/>
      <c r="E105" s="561"/>
      <c r="F105" s="561"/>
      <c r="G105" s="561"/>
      <c r="H105" s="561"/>
      <c r="I105" s="561"/>
      <c r="J105" s="561"/>
      <c r="K105" s="561"/>
      <c r="L105" s="636"/>
      <c r="M105" s="561"/>
      <c r="N105" s="313"/>
      <c r="O105" s="313"/>
      <c r="P105" s="561"/>
      <c r="Q105" s="561"/>
      <c r="R105" s="561"/>
      <c r="S105" s="561"/>
      <c r="T105" s="561"/>
      <c r="U105" s="561"/>
      <c r="V105" s="561"/>
      <c r="W105" s="644"/>
      <c r="X105" s="644"/>
      <c r="Y105" s="644"/>
      <c r="Z105" s="644"/>
      <c r="AA105" s="644"/>
      <c r="AB105" s="644"/>
      <c r="AC105" s="644"/>
      <c r="AD105" s="644"/>
      <c r="AE105" s="644"/>
      <c r="AF105" s="644"/>
      <c r="AG105" s="644"/>
      <c r="AH105" s="644"/>
      <c r="AI105" s="644"/>
      <c r="AJ105" s="644"/>
      <c r="AK105" s="644"/>
      <c r="AL105" s="644"/>
      <c r="AM105" s="644"/>
      <c r="AN105" s="644"/>
      <c r="AO105" s="644"/>
      <c r="AP105" s="644"/>
      <c r="AQ105" s="644"/>
      <c r="AR105" s="644"/>
      <c r="AS105" s="644"/>
      <c r="AT105" s="644"/>
      <c r="AU105" s="644"/>
      <c r="AV105" s="644"/>
      <c r="AW105" s="644"/>
      <c r="AX105" s="81"/>
      <c r="AY105" s="644"/>
      <c r="AZ105" s="644"/>
      <c r="BA105" s="644"/>
      <c r="BB105" s="644"/>
      <c r="BC105" s="644"/>
      <c r="BD105" s="644"/>
      <c r="BE105" s="644"/>
      <c r="BF105" s="645"/>
      <c r="BG105" s="645"/>
      <c r="BH105" s="645"/>
      <c r="BI105" s="645"/>
      <c r="BJ105" s="644"/>
    </row>
    <row r="106" spans="1:62">
      <c r="A106" s="561"/>
      <c r="B106" s="561"/>
      <c r="C106" s="561"/>
      <c r="D106" s="561"/>
      <c r="E106" s="561"/>
      <c r="F106" s="561"/>
      <c r="G106" s="561"/>
      <c r="H106" s="561"/>
      <c r="I106" s="561"/>
      <c r="J106" s="561"/>
      <c r="K106" s="561"/>
      <c r="L106" s="636"/>
      <c r="M106" s="561"/>
      <c r="N106" s="313"/>
      <c r="O106" s="313"/>
      <c r="P106" s="561"/>
      <c r="Q106" s="561"/>
      <c r="R106" s="561"/>
      <c r="S106" s="561"/>
      <c r="T106" s="561"/>
      <c r="U106" s="561"/>
      <c r="V106" s="561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  <c r="AV106" s="644"/>
      <c r="AW106" s="644"/>
      <c r="AX106" s="81"/>
      <c r="AY106" s="644"/>
      <c r="AZ106" s="644"/>
      <c r="BA106" s="644"/>
      <c r="BB106" s="644"/>
      <c r="BC106" s="644"/>
      <c r="BD106" s="644"/>
      <c r="BE106" s="644"/>
      <c r="BF106" s="645"/>
      <c r="BG106" s="645"/>
      <c r="BH106" s="645"/>
      <c r="BI106" s="645"/>
      <c r="BJ106" s="644"/>
    </row>
    <row r="107" spans="1:62">
      <c r="A107" s="561"/>
      <c r="B107" s="561"/>
      <c r="C107" s="561"/>
      <c r="D107" s="561"/>
      <c r="E107" s="561"/>
      <c r="F107" s="561"/>
      <c r="G107" s="561"/>
      <c r="H107" s="561"/>
      <c r="I107" s="561"/>
      <c r="J107" s="561"/>
      <c r="K107" s="561"/>
      <c r="L107" s="636"/>
      <c r="M107" s="561"/>
      <c r="N107" s="313"/>
      <c r="O107" s="313"/>
      <c r="P107" s="561"/>
      <c r="Q107" s="561"/>
      <c r="R107" s="561"/>
      <c r="S107" s="561"/>
      <c r="T107" s="561"/>
      <c r="U107" s="561"/>
      <c r="V107" s="561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44"/>
      <c r="AH107" s="644"/>
      <c r="AI107" s="644"/>
      <c r="AJ107" s="644"/>
      <c r="AK107" s="644"/>
      <c r="AL107" s="644"/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4"/>
      <c r="AW107" s="644"/>
      <c r="AX107" s="81"/>
      <c r="AY107" s="644"/>
      <c r="AZ107" s="644"/>
      <c r="BA107" s="644"/>
      <c r="BB107" s="644"/>
      <c r="BC107" s="644"/>
      <c r="BD107" s="644"/>
      <c r="BE107" s="644"/>
      <c r="BF107" s="645"/>
      <c r="BG107" s="645"/>
      <c r="BH107" s="645"/>
      <c r="BI107" s="645"/>
      <c r="BJ107" s="644"/>
    </row>
    <row r="108" spans="1:62">
      <c r="A108" s="561"/>
      <c r="B108" s="561"/>
      <c r="C108" s="561"/>
      <c r="D108" s="561"/>
      <c r="E108" s="561"/>
      <c r="F108" s="561"/>
      <c r="G108" s="561"/>
      <c r="H108" s="561"/>
      <c r="I108" s="561"/>
      <c r="J108" s="561"/>
      <c r="K108" s="561"/>
      <c r="L108" s="636"/>
      <c r="M108" s="561"/>
      <c r="N108" s="313"/>
      <c r="O108" s="313"/>
      <c r="P108" s="561"/>
      <c r="Q108" s="561"/>
      <c r="R108" s="561"/>
      <c r="S108" s="561"/>
      <c r="T108" s="561"/>
      <c r="U108" s="561"/>
      <c r="V108" s="561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44"/>
      <c r="AH108" s="644"/>
      <c r="AI108" s="644"/>
      <c r="AJ108" s="644"/>
      <c r="AK108" s="644"/>
      <c r="AL108" s="644"/>
      <c r="AM108" s="644"/>
      <c r="AN108" s="644"/>
      <c r="AO108" s="644"/>
      <c r="AP108" s="644"/>
      <c r="AQ108" s="644"/>
      <c r="AR108" s="644"/>
      <c r="AS108" s="644"/>
      <c r="AT108" s="644"/>
      <c r="AU108" s="644"/>
      <c r="AV108" s="644"/>
      <c r="AW108" s="644"/>
      <c r="AX108" s="81"/>
      <c r="AY108" s="644"/>
      <c r="AZ108" s="644"/>
      <c r="BA108" s="644"/>
      <c r="BB108" s="644"/>
      <c r="BC108" s="644"/>
      <c r="BD108" s="644"/>
      <c r="BE108" s="644"/>
      <c r="BF108" s="645"/>
      <c r="BG108" s="645"/>
      <c r="BH108" s="645"/>
      <c r="BI108" s="645"/>
      <c r="BJ108" s="644"/>
    </row>
    <row r="109" spans="1:62">
      <c r="A109" s="561"/>
      <c r="B109" s="561"/>
      <c r="C109" s="561"/>
      <c r="D109" s="561"/>
      <c r="E109" s="561"/>
      <c r="F109" s="561"/>
      <c r="G109" s="561"/>
      <c r="H109" s="561"/>
      <c r="I109" s="561"/>
      <c r="J109" s="561"/>
      <c r="K109" s="561"/>
      <c r="L109" s="636"/>
      <c r="M109" s="561"/>
      <c r="N109" s="313"/>
      <c r="O109" s="313"/>
      <c r="P109" s="561"/>
      <c r="Q109" s="561"/>
      <c r="R109" s="561"/>
      <c r="S109" s="561"/>
      <c r="T109" s="561"/>
      <c r="U109" s="561"/>
      <c r="V109" s="561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44"/>
      <c r="AH109" s="644"/>
      <c r="AI109" s="644"/>
      <c r="AJ109" s="644"/>
      <c r="AK109" s="644"/>
      <c r="AL109" s="644"/>
      <c r="AM109" s="644"/>
      <c r="AN109" s="644"/>
      <c r="AO109" s="644"/>
      <c r="AP109" s="644"/>
      <c r="AQ109" s="644"/>
      <c r="AR109" s="644"/>
      <c r="AS109" s="644"/>
      <c r="AT109" s="644"/>
      <c r="AU109" s="644"/>
      <c r="AV109" s="644"/>
      <c r="AW109" s="644"/>
      <c r="AX109" s="81"/>
      <c r="AY109" s="644"/>
      <c r="AZ109" s="644"/>
      <c r="BA109" s="644"/>
      <c r="BB109" s="644"/>
      <c r="BC109" s="644"/>
      <c r="BD109" s="644"/>
      <c r="BE109" s="644"/>
      <c r="BF109" s="645"/>
      <c r="BG109" s="645"/>
      <c r="BH109" s="645"/>
      <c r="BI109" s="645"/>
      <c r="BJ109" s="644"/>
    </row>
    <row r="110" spans="1:62">
      <c r="A110" s="561"/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636"/>
      <c r="M110" s="561"/>
      <c r="N110" s="313"/>
      <c r="O110" s="313"/>
      <c r="P110" s="561"/>
      <c r="Q110" s="561"/>
      <c r="R110" s="561"/>
      <c r="S110" s="561"/>
      <c r="T110" s="561"/>
      <c r="U110" s="561"/>
      <c r="V110" s="561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44"/>
      <c r="AH110" s="644"/>
      <c r="AI110" s="644"/>
      <c r="AJ110" s="644"/>
      <c r="AK110" s="644"/>
      <c r="AL110" s="644"/>
      <c r="AM110" s="644"/>
      <c r="AN110" s="644"/>
      <c r="AO110" s="644"/>
      <c r="AP110" s="644"/>
      <c r="AQ110" s="644"/>
      <c r="AR110" s="644"/>
      <c r="AS110" s="644"/>
      <c r="AT110" s="644"/>
      <c r="AU110" s="644"/>
      <c r="AV110" s="644"/>
      <c r="AW110" s="644"/>
      <c r="AX110" s="81"/>
      <c r="AY110" s="644"/>
      <c r="AZ110" s="644"/>
      <c r="BA110" s="644"/>
      <c r="BB110" s="644"/>
      <c r="BC110" s="644"/>
      <c r="BD110" s="644"/>
      <c r="BE110" s="644"/>
      <c r="BF110" s="645"/>
      <c r="BG110" s="645"/>
      <c r="BH110" s="645"/>
      <c r="BI110" s="645"/>
      <c r="BJ110" s="644"/>
    </row>
    <row r="111" spans="1:62">
      <c r="A111" s="561"/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636"/>
      <c r="M111" s="561"/>
      <c r="N111" s="313"/>
      <c r="O111" s="313"/>
      <c r="P111" s="561"/>
      <c r="Q111" s="561"/>
      <c r="R111" s="561"/>
      <c r="S111" s="561"/>
      <c r="T111" s="561"/>
      <c r="U111" s="561"/>
      <c r="V111" s="561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  <c r="AJ111" s="644"/>
      <c r="AK111" s="644"/>
      <c r="AL111" s="644"/>
      <c r="AM111" s="644"/>
      <c r="AN111" s="644"/>
      <c r="AO111" s="644"/>
      <c r="AP111" s="644"/>
      <c r="AQ111" s="644"/>
      <c r="AR111" s="644"/>
      <c r="AS111" s="644"/>
      <c r="AT111" s="644"/>
      <c r="AU111" s="644"/>
      <c r="AV111" s="644"/>
      <c r="AW111" s="644"/>
      <c r="AX111" s="81"/>
      <c r="AY111" s="644"/>
      <c r="AZ111" s="644"/>
      <c r="BA111" s="644"/>
      <c r="BB111" s="644"/>
      <c r="BC111" s="644"/>
      <c r="BD111" s="644"/>
      <c r="BE111" s="644"/>
      <c r="BF111" s="645"/>
      <c r="BG111" s="645"/>
      <c r="BH111" s="645"/>
      <c r="BI111" s="645"/>
      <c r="BJ111" s="644"/>
    </row>
    <row r="112" spans="1:62">
      <c r="A112" s="561"/>
      <c r="B112" s="561"/>
      <c r="C112" s="561"/>
      <c r="D112" s="561"/>
      <c r="E112" s="561"/>
      <c r="F112" s="561"/>
      <c r="G112" s="561"/>
      <c r="H112" s="561"/>
      <c r="I112" s="561"/>
      <c r="J112" s="561"/>
      <c r="K112" s="561"/>
      <c r="L112" s="636"/>
      <c r="M112" s="561"/>
      <c r="N112" s="313"/>
      <c r="O112" s="313"/>
      <c r="P112" s="561"/>
      <c r="Q112" s="561"/>
      <c r="R112" s="561"/>
      <c r="S112" s="561"/>
      <c r="T112" s="561"/>
      <c r="U112" s="561"/>
      <c r="V112" s="561"/>
      <c r="W112" s="644"/>
      <c r="X112" s="644"/>
      <c r="Y112" s="644"/>
      <c r="Z112" s="644"/>
      <c r="AA112" s="644"/>
      <c r="AB112" s="644"/>
      <c r="AC112" s="644"/>
      <c r="AD112" s="644"/>
      <c r="AE112" s="644"/>
      <c r="AF112" s="644"/>
      <c r="AG112" s="644"/>
      <c r="AH112" s="644"/>
      <c r="AI112" s="644"/>
      <c r="AJ112" s="644"/>
      <c r="AK112" s="644"/>
      <c r="AL112" s="644"/>
      <c r="AM112" s="644"/>
      <c r="AN112" s="644"/>
      <c r="AO112" s="644"/>
      <c r="AP112" s="644"/>
      <c r="AQ112" s="644"/>
      <c r="AR112" s="644"/>
      <c r="AS112" s="644"/>
      <c r="AT112" s="644"/>
      <c r="AU112" s="644"/>
      <c r="AV112" s="644"/>
      <c r="AW112" s="644"/>
      <c r="AX112" s="81"/>
      <c r="AY112" s="644"/>
      <c r="AZ112" s="644"/>
      <c r="BA112" s="644"/>
      <c r="BB112" s="644"/>
      <c r="BC112" s="644"/>
      <c r="BD112" s="644"/>
      <c r="BE112" s="644"/>
      <c r="BF112" s="645"/>
      <c r="BG112" s="645"/>
      <c r="BH112" s="645"/>
      <c r="BI112" s="645"/>
      <c r="BJ112" s="644"/>
    </row>
    <row r="113" spans="1:62">
      <c r="A113" s="561"/>
      <c r="B113" s="561"/>
      <c r="C113" s="561"/>
      <c r="D113" s="561"/>
      <c r="E113" s="561"/>
      <c r="F113" s="561"/>
      <c r="G113" s="561"/>
      <c r="H113" s="561"/>
      <c r="I113" s="561"/>
      <c r="J113" s="561"/>
      <c r="K113" s="561"/>
      <c r="L113" s="636"/>
      <c r="M113" s="561"/>
      <c r="N113" s="313"/>
      <c r="O113" s="313"/>
      <c r="P113" s="561"/>
      <c r="Q113" s="561"/>
      <c r="R113" s="561"/>
      <c r="S113" s="561"/>
      <c r="T113" s="561"/>
      <c r="U113" s="561"/>
      <c r="V113" s="561"/>
      <c r="W113" s="644"/>
      <c r="X113" s="644"/>
      <c r="Y113" s="644"/>
      <c r="Z113" s="644"/>
      <c r="AA113" s="644"/>
      <c r="AB113" s="644"/>
      <c r="AC113" s="644"/>
      <c r="AD113" s="644"/>
      <c r="AE113" s="644"/>
      <c r="AF113" s="644"/>
      <c r="AG113" s="644"/>
      <c r="AH113" s="644"/>
      <c r="AI113" s="644"/>
      <c r="AJ113" s="644"/>
      <c r="AK113" s="644"/>
      <c r="AL113" s="644"/>
      <c r="AM113" s="644"/>
      <c r="AN113" s="644"/>
      <c r="AO113" s="644"/>
      <c r="AP113" s="644"/>
      <c r="AQ113" s="644"/>
      <c r="AR113" s="644"/>
      <c r="AS113" s="644"/>
      <c r="AT113" s="644"/>
      <c r="AU113" s="644"/>
      <c r="AV113" s="644"/>
      <c r="AW113" s="644"/>
      <c r="AX113" s="81"/>
      <c r="AY113" s="644"/>
      <c r="AZ113" s="644"/>
      <c r="BA113" s="644"/>
      <c r="BB113" s="644"/>
      <c r="BC113" s="644"/>
      <c r="BD113" s="644"/>
      <c r="BE113" s="644"/>
      <c r="BF113" s="645"/>
      <c r="BG113" s="645"/>
      <c r="BH113" s="645"/>
      <c r="BI113" s="645"/>
      <c r="BJ113" s="644"/>
    </row>
    <row r="114" spans="1:62">
      <c r="A114" s="561"/>
      <c r="B114" s="561"/>
      <c r="C114" s="561"/>
      <c r="D114" s="561"/>
      <c r="E114" s="561"/>
      <c r="F114" s="561"/>
      <c r="G114" s="561"/>
      <c r="H114" s="561"/>
      <c r="I114" s="561"/>
      <c r="J114" s="561"/>
      <c r="K114" s="561"/>
      <c r="L114" s="636"/>
      <c r="M114" s="561"/>
      <c r="N114" s="313"/>
      <c r="O114" s="313"/>
      <c r="P114" s="561"/>
      <c r="Q114" s="561"/>
      <c r="R114" s="561"/>
      <c r="S114" s="561"/>
      <c r="T114" s="561"/>
      <c r="U114" s="561"/>
      <c r="V114" s="561"/>
      <c r="W114" s="644"/>
      <c r="X114" s="644"/>
      <c r="Y114" s="644"/>
      <c r="Z114" s="644"/>
      <c r="AA114" s="644"/>
      <c r="AB114" s="644"/>
      <c r="AC114" s="644"/>
      <c r="AD114" s="644"/>
      <c r="AE114" s="644"/>
      <c r="AF114" s="644"/>
      <c r="AG114" s="644"/>
      <c r="AH114" s="644"/>
      <c r="AI114" s="644"/>
      <c r="AJ114" s="644"/>
      <c r="AK114" s="644"/>
      <c r="AL114" s="644"/>
      <c r="AM114" s="644"/>
      <c r="AN114" s="644"/>
      <c r="AO114" s="644"/>
      <c r="AP114" s="644"/>
      <c r="AQ114" s="644"/>
      <c r="AR114" s="644"/>
      <c r="AS114" s="644"/>
      <c r="AT114" s="644"/>
      <c r="AU114" s="644"/>
      <c r="AV114" s="644"/>
      <c r="AW114" s="644"/>
      <c r="AX114" s="81"/>
      <c r="AY114" s="644"/>
      <c r="AZ114" s="644"/>
      <c r="BA114" s="644"/>
      <c r="BB114" s="644"/>
      <c r="BC114" s="644"/>
      <c r="BD114" s="644"/>
      <c r="BE114" s="644"/>
      <c r="BF114" s="645"/>
      <c r="BG114" s="645"/>
      <c r="BH114" s="645"/>
      <c r="BI114" s="645"/>
      <c r="BJ114" s="644"/>
    </row>
    <row r="115" spans="1:62">
      <c r="A115" s="561"/>
      <c r="B115" s="561"/>
      <c r="C115" s="561"/>
      <c r="D115" s="561"/>
      <c r="E115" s="561"/>
      <c r="F115" s="561"/>
      <c r="G115" s="561"/>
      <c r="H115" s="561"/>
      <c r="I115" s="561"/>
      <c r="J115" s="561"/>
      <c r="K115" s="561"/>
      <c r="L115" s="636"/>
      <c r="M115" s="561"/>
      <c r="N115" s="313"/>
      <c r="O115" s="313"/>
      <c r="P115" s="561"/>
      <c r="Q115" s="561"/>
      <c r="R115" s="561"/>
      <c r="S115" s="561"/>
      <c r="T115" s="561"/>
      <c r="U115" s="561"/>
      <c r="V115" s="561"/>
      <c r="W115" s="644"/>
      <c r="X115" s="644"/>
      <c r="Y115" s="644"/>
      <c r="Z115" s="644"/>
      <c r="AA115" s="644"/>
      <c r="AB115" s="644"/>
      <c r="AC115" s="644"/>
      <c r="AD115" s="644"/>
      <c r="AE115" s="644"/>
      <c r="AF115" s="644"/>
      <c r="AG115" s="644"/>
      <c r="AH115" s="644"/>
      <c r="AI115" s="644"/>
      <c r="AJ115" s="644"/>
      <c r="AK115" s="644"/>
      <c r="AL115" s="644"/>
      <c r="AM115" s="644"/>
      <c r="AN115" s="644"/>
      <c r="AO115" s="644"/>
      <c r="AP115" s="644"/>
      <c r="AQ115" s="644"/>
      <c r="AR115" s="644"/>
      <c r="AS115" s="644"/>
      <c r="AT115" s="644"/>
      <c r="AU115" s="644"/>
      <c r="AV115" s="644"/>
      <c r="AW115" s="644"/>
      <c r="AX115" s="81"/>
      <c r="AY115" s="644"/>
      <c r="AZ115" s="644"/>
      <c r="BA115" s="644"/>
      <c r="BB115" s="644"/>
      <c r="BC115" s="644"/>
      <c r="BD115" s="644"/>
      <c r="BE115" s="644"/>
      <c r="BF115" s="645"/>
      <c r="BG115" s="645"/>
      <c r="BH115" s="645"/>
      <c r="BI115" s="645"/>
      <c r="BJ115" s="644"/>
    </row>
    <row r="116" spans="1:62">
      <c r="A116" s="561"/>
      <c r="B116" s="561"/>
      <c r="C116" s="561"/>
      <c r="D116" s="561"/>
      <c r="E116" s="561"/>
      <c r="F116" s="561"/>
      <c r="G116" s="561"/>
      <c r="H116" s="561"/>
      <c r="I116" s="561"/>
      <c r="J116" s="561"/>
      <c r="K116" s="561"/>
      <c r="L116" s="636"/>
      <c r="M116" s="561"/>
      <c r="N116" s="313"/>
      <c r="O116" s="313"/>
      <c r="P116" s="561"/>
      <c r="Q116" s="561"/>
      <c r="R116" s="561"/>
      <c r="S116" s="561"/>
      <c r="T116" s="561"/>
      <c r="U116" s="561"/>
      <c r="V116" s="561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44"/>
      <c r="AI116" s="644"/>
      <c r="AJ116" s="644"/>
      <c r="AK116" s="644"/>
      <c r="AL116" s="644"/>
      <c r="AM116" s="644"/>
      <c r="AN116" s="644"/>
      <c r="AO116" s="644"/>
      <c r="AP116" s="644"/>
      <c r="AQ116" s="644"/>
      <c r="AR116" s="644"/>
      <c r="AS116" s="644"/>
      <c r="AT116" s="644"/>
      <c r="AU116" s="644"/>
      <c r="AV116" s="644"/>
      <c r="AW116" s="644"/>
      <c r="AX116" s="81"/>
      <c r="AY116" s="644"/>
      <c r="AZ116" s="644"/>
      <c r="BA116" s="644"/>
      <c r="BB116" s="644"/>
      <c r="BC116" s="644"/>
      <c r="BD116" s="644"/>
      <c r="BE116" s="644"/>
      <c r="BF116" s="645"/>
      <c r="BG116" s="645"/>
      <c r="BH116" s="645"/>
      <c r="BI116" s="645"/>
      <c r="BJ116" s="644"/>
    </row>
    <row r="117" spans="1:62">
      <c r="A117" s="561"/>
      <c r="B117" s="561"/>
      <c r="C117" s="561"/>
      <c r="D117" s="561"/>
      <c r="E117" s="561"/>
      <c r="F117" s="561"/>
      <c r="G117" s="561"/>
      <c r="H117" s="561"/>
      <c r="I117" s="561"/>
      <c r="J117" s="561"/>
      <c r="K117" s="561"/>
      <c r="L117" s="636"/>
      <c r="M117" s="561"/>
      <c r="N117" s="313"/>
      <c r="O117" s="313"/>
      <c r="P117" s="561"/>
      <c r="Q117" s="561"/>
      <c r="R117" s="561"/>
      <c r="S117" s="561"/>
      <c r="T117" s="561"/>
      <c r="U117" s="561"/>
      <c r="V117" s="561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  <c r="AJ117" s="644"/>
      <c r="AK117" s="644"/>
      <c r="AL117" s="644"/>
      <c r="AM117" s="644"/>
      <c r="AN117" s="644"/>
      <c r="AO117" s="644"/>
      <c r="AP117" s="644"/>
      <c r="AQ117" s="644"/>
      <c r="AR117" s="644"/>
      <c r="AS117" s="644"/>
      <c r="AT117" s="644"/>
      <c r="AU117" s="644"/>
      <c r="AV117" s="644"/>
      <c r="AW117" s="644"/>
      <c r="AX117" s="81"/>
      <c r="AY117" s="644"/>
      <c r="AZ117" s="644"/>
      <c r="BA117" s="644"/>
      <c r="BB117" s="644"/>
      <c r="BC117" s="644"/>
      <c r="BD117" s="644"/>
      <c r="BE117" s="644"/>
      <c r="BF117" s="645"/>
      <c r="BG117" s="645"/>
      <c r="BH117" s="645"/>
      <c r="BI117" s="645"/>
      <c r="BJ117" s="644"/>
    </row>
    <row r="118" spans="1:62">
      <c r="A118" s="561"/>
      <c r="B118" s="561"/>
      <c r="C118" s="561"/>
      <c r="D118" s="561"/>
      <c r="E118" s="561"/>
      <c r="F118" s="561"/>
      <c r="G118" s="561"/>
      <c r="H118" s="561"/>
      <c r="I118" s="561"/>
      <c r="J118" s="561"/>
      <c r="K118" s="561"/>
      <c r="L118" s="636"/>
      <c r="M118" s="561"/>
      <c r="N118" s="313"/>
      <c r="O118" s="313"/>
      <c r="P118" s="561"/>
      <c r="Q118" s="561"/>
      <c r="R118" s="561"/>
      <c r="S118" s="561"/>
      <c r="T118" s="561"/>
      <c r="U118" s="561"/>
      <c r="V118" s="561"/>
      <c r="W118" s="644"/>
      <c r="X118" s="644"/>
      <c r="Y118" s="644"/>
      <c r="Z118" s="644"/>
      <c r="AA118" s="644"/>
      <c r="AB118" s="644"/>
      <c r="AC118" s="644"/>
      <c r="AD118" s="644"/>
      <c r="AE118" s="644"/>
      <c r="AF118" s="644"/>
      <c r="AG118" s="644"/>
      <c r="AH118" s="644"/>
      <c r="AI118" s="644"/>
      <c r="AJ118" s="644"/>
      <c r="AK118" s="644"/>
      <c r="AL118" s="644"/>
      <c r="AM118" s="644"/>
      <c r="AN118" s="644"/>
      <c r="AO118" s="644"/>
      <c r="AP118" s="644"/>
      <c r="AQ118" s="644"/>
      <c r="AR118" s="644"/>
      <c r="AS118" s="644"/>
      <c r="AT118" s="644"/>
      <c r="AU118" s="644"/>
      <c r="AV118" s="644"/>
      <c r="AW118" s="644"/>
      <c r="AX118" s="81"/>
      <c r="AY118" s="644"/>
      <c r="AZ118" s="644"/>
      <c r="BA118" s="644"/>
      <c r="BB118" s="644"/>
      <c r="BC118" s="644"/>
      <c r="BD118" s="644"/>
      <c r="BE118" s="644"/>
      <c r="BF118" s="645"/>
      <c r="BG118" s="645"/>
      <c r="BH118" s="645"/>
      <c r="BI118" s="645"/>
      <c r="BJ118" s="644"/>
    </row>
    <row r="119" spans="1:62">
      <c r="A119" s="561"/>
      <c r="B119" s="561"/>
      <c r="C119" s="561"/>
      <c r="D119" s="561"/>
      <c r="E119" s="561"/>
      <c r="F119" s="561"/>
      <c r="G119" s="561"/>
      <c r="H119" s="561"/>
      <c r="I119" s="561"/>
      <c r="J119" s="561"/>
      <c r="K119" s="561"/>
      <c r="L119" s="636"/>
      <c r="M119" s="561"/>
      <c r="N119" s="313"/>
      <c r="O119" s="313"/>
      <c r="P119" s="561"/>
      <c r="Q119" s="561"/>
      <c r="R119" s="561"/>
      <c r="S119" s="561"/>
      <c r="T119" s="561"/>
      <c r="U119" s="561"/>
      <c r="V119" s="561"/>
      <c r="W119" s="644"/>
      <c r="X119" s="644"/>
      <c r="Y119" s="644"/>
      <c r="Z119" s="644"/>
      <c r="AA119" s="644"/>
      <c r="AB119" s="644"/>
      <c r="AC119" s="644"/>
      <c r="AD119" s="644"/>
      <c r="AE119" s="644"/>
      <c r="AF119" s="644"/>
      <c r="AG119" s="644"/>
      <c r="AH119" s="644"/>
      <c r="AI119" s="644"/>
      <c r="AJ119" s="644"/>
      <c r="AK119" s="644"/>
      <c r="AL119" s="644"/>
      <c r="AM119" s="644"/>
      <c r="AN119" s="644"/>
      <c r="AO119" s="644"/>
      <c r="AP119" s="644"/>
      <c r="AQ119" s="644"/>
      <c r="AR119" s="644"/>
      <c r="AS119" s="644"/>
      <c r="AT119" s="644"/>
      <c r="AU119" s="644"/>
      <c r="AV119" s="644"/>
      <c r="AW119" s="644"/>
      <c r="AX119" s="81"/>
      <c r="AY119" s="644"/>
      <c r="AZ119" s="644"/>
      <c r="BA119" s="644"/>
      <c r="BB119" s="644"/>
      <c r="BC119" s="644"/>
      <c r="BD119" s="644"/>
      <c r="BE119" s="644"/>
      <c r="BF119" s="645"/>
      <c r="BG119" s="645"/>
      <c r="BH119" s="645"/>
      <c r="BI119" s="645"/>
      <c r="BJ119" s="644"/>
    </row>
    <row r="120" spans="1:62">
      <c r="A120" s="561"/>
      <c r="B120" s="561"/>
      <c r="C120" s="561"/>
      <c r="D120" s="561"/>
      <c r="E120" s="561"/>
      <c r="F120" s="561"/>
      <c r="G120" s="561"/>
      <c r="H120" s="561"/>
      <c r="I120" s="561"/>
      <c r="J120" s="561"/>
      <c r="K120" s="561"/>
      <c r="L120" s="636"/>
      <c r="M120" s="561"/>
      <c r="N120" s="313"/>
      <c r="O120" s="313"/>
      <c r="P120" s="561"/>
      <c r="Q120" s="561"/>
      <c r="R120" s="561"/>
      <c r="S120" s="561"/>
      <c r="T120" s="561"/>
      <c r="U120" s="561"/>
      <c r="V120" s="561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644"/>
      <c r="AH120" s="644"/>
      <c r="AI120" s="644"/>
      <c r="AJ120" s="644"/>
      <c r="AK120" s="644"/>
      <c r="AL120" s="644"/>
      <c r="AM120" s="644"/>
      <c r="AN120" s="644"/>
      <c r="AO120" s="644"/>
      <c r="AP120" s="644"/>
      <c r="AQ120" s="644"/>
      <c r="AR120" s="644"/>
      <c r="AS120" s="644"/>
      <c r="AT120" s="644"/>
      <c r="AU120" s="644"/>
      <c r="AV120" s="644"/>
      <c r="AW120" s="644"/>
      <c r="AX120" s="81"/>
      <c r="AY120" s="644"/>
      <c r="AZ120" s="644"/>
      <c r="BA120" s="644"/>
      <c r="BB120" s="644"/>
      <c r="BC120" s="644"/>
      <c r="BD120" s="644"/>
      <c r="BE120" s="644"/>
      <c r="BF120" s="645"/>
      <c r="BG120" s="645"/>
      <c r="BH120" s="645"/>
      <c r="BI120" s="645"/>
      <c r="BJ120" s="644"/>
    </row>
    <row r="121" spans="1:62">
      <c r="A121" s="561"/>
      <c r="B121" s="561"/>
      <c r="C121" s="561"/>
      <c r="D121" s="561"/>
      <c r="E121" s="561"/>
      <c r="F121" s="561"/>
      <c r="G121" s="561"/>
      <c r="H121" s="561"/>
      <c r="I121" s="561"/>
      <c r="J121" s="561"/>
      <c r="K121" s="561"/>
      <c r="L121" s="636"/>
      <c r="M121" s="561"/>
      <c r="N121" s="313"/>
      <c r="O121" s="313"/>
      <c r="P121" s="561"/>
      <c r="Q121" s="561"/>
      <c r="R121" s="561"/>
      <c r="S121" s="561"/>
      <c r="T121" s="561"/>
      <c r="U121" s="561"/>
      <c r="V121" s="561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644"/>
      <c r="AJ121" s="644"/>
      <c r="AK121" s="644"/>
      <c r="AL121" s="644"/>
      <c r="AM121" s="644"/>
      <c r="AN121" s="644"/>
      <c r="AO121" s="644"/>
      <c r="AP121" s="644"/>
      <c r="AQ121" s="644"/>
      <c r="AR121" s="644"/>
      <c r="AS121" s="644"/>
      <c r="AT121" s="644"/>
      <c r="AU121" s="644"/>
      <c r="AV121" s="644"/>
      <c r="AW121" s="644"/>
      <c r="AX121" s="81"/>
      <c r="AY121" s="644"/>
      <c r="AZ121" s="644"/>
      <c r="BA121" s="644"/>
      <c r="BB121" s="644"/>
      <c r="BC121" s="644"/>
      <c r="BD121" s="644"/>
      <c r="BE121" s="644"/>
      <c r="BF121" s="645"/>
      <c r="BG121" s="645"/>
      <c r="BH121" s="645"/>
      <c r="BI121" s="645"/>
      <c r="BJ121" s="644"/>
    </row>
  </sheetData>
  <mergeCells count="51">
    <mergeCell ref="BC18:BC21"/>
    <mergeCell ref="AW20:AX20"/>
    <mergeCell ref="AU18:AZ19"/>
    <mergeCell ref="AU4:AY4"/>
    <mergeCell ref="AU5:AY5"/>
    <mergeCell ref="AU16:AY16"/>
    <mergeCell ref="AU20:AV20"/>
    <mergeCell ref="AY20:AZ20"/>
    <mergeCell ref="AU11:AY11"/>
    <mergeCell ref="U19:U20"/>
    <mergeCell ref="AO18:AT19"/>
    <mergeCell ref="AO20:AP20"/>
    <mergeCell ref="AQ20:AR20"/>
    <mergeCell ref="AS20:AT20"/>
    <mergeCell ref="BH19:BH22"/>
    <mergeCell ref="BF19:BF22"/>
    <mergeCell ref="BD18:BD21"/>
    <mergeCell ref="BE18:BE21"/>
    <mergeCell ref="BG19:BG21"/>
    <mergeCell ref="AU1:AY1"/>
    <mergeCell ref="AU2:AY2"/>
    <mergeCell ref="AU3:AY3"/>
    <mergeCell ref="AU6:AY6"/>
    <mergeCell ref="AC20:AD20"/>
    <mergeCell ref="AE20:AF20"/>
    <mergeCell ref="AG20:AH20"/>
    <mergeCell ref="AI20:AJ20"/>
    <mergeCell ref="AK20:AL20"/>
    <mergeCell ref="AM20:AN20"/>
    <mergeCell ref="AU7:AY7"/>
    <mergeCell ref="AU8:AY8"/>
    <mergeCell ref="AU12:AY12"/>
    <mergeCell ref="AU13:AY13"/>
    <mergeCell ref="AU9:AY9"/>
    <mergeCell ref="AU10:AY10"/>
    <mergeCell ref="BI19:BI22"/>
    <mergeCell ref="AU14:AY14"/>
    <mergeCell ref="D18:D20"/>
    <mergeCell ref="E18:E20"/>
    <mergeCell ref="G18:G20"/>
    <mergeCell ref="J18:J20"/>
    <mergeCell ref="P18:R18"/>
    <mergeCell ref="P19:P20"/>
    <mergeCell ref="AU15:AY15"/>
    <mergeCell ref="Q19:Q20"/>
    <mergeCell ref="R19:R20"/>
    <mergeCell ref="S19:S20"/>
    <mergeCell ref="T19:T20"/>
    <mergeCell ref="W18:Z18"/>
    <mergeCell ref="AC18:AH19"/>
    <mergeCell ref="AI18:AN19"/>
  </mergeCells>
  <phoneticPr fontId="29" type="noConversion"/>
  <pageMargins left="0.6" right="0.74803149606299213" top="0.51" bottom="0.48" header="0.51181102362204722" footer="0.51181102362204722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89"/>
  <sheetViews>
    <sheetView view="pageBreakPreview" topLeftCell="A17" zoomScale="80" zoomScaleNormal="70" zoomScaleSheetLayoutView="80" workbookViewId="0">
      <selection activeCell="B17" sqref="B1:B1048576"/>
    </sheetView>
  </sheetViews>
  <sheetFormatPr defaultColWidth="8.85546875" defaultRowHeight="9.75"/>
  <cols>
    <col min="1" max="1" width="4.5703125" style="326" customWidth="1"/>
    <col min="2" max="2" width="25" style="326" customWidth="1"/>
    <col min="3" max="3" width="15.140625" style="326" customWidth="1"/>
    <col min="4" max="4" width="7.42578125" style="326" customWidth="1"/>
    <col min="5" max="5" width="10.5703125" style="699" customWidth="1"/>
    <col min="6" max="6" width="11.5703125" style="326" customWidth="1"/>
    <col min="7" max="7" width="8.140625" style="760" customWidth="1"/>
    <col min="8" max="8" width="9.7109375" style="760" customWidth="1"/>
    <col min="9" max="9" width="8.85546875" style="760" customWidth="1"/>
    <col min="10" max="10" width="4.28515625" style="326" customWidth="1"/>
    <col min="11" max="11" width="3.85546875" style="326" hidden="1" customWidth="1"/>
    <col min="12" max="12" width="7.5703125" style="326" customWidth="1"/>
    <col min="13" max="13" width="6.85546875" style="326" customWidth="1"/>
    <col min="14" max="14" width="5.140625" style="326" customWidth="1"/>
    <col min="15" max="15" width="6.140625" style="326" customWidth="1"/>
    <col min="16" max="16" width="6.7109375" style="326" customWidth="1"/>
    <col min="17" max="17" width="6.42578125" style="326" customWidth="1"/>
    <col min="18" max="18" width="9.140625" style="760" customWidth="1"/>
    <col min="19" max="19" width="8.28515625" style="326" customWidth="1"/>
    <col min="20" max="20" width="10.140625" style="326" customWidth="1"/>
    <col min="21" max="21" width="8.5703125" style="760" customWidth="1"/>
    <col min="22" max="22" width="5.85546875" style="326" hidden="1" customWidth="1"/>
    <col min="23" max="26" width="6.140625" style="326" hidden="1" customWidth="1"/>
    <col min="27" max="27" width="4.140625" style="326" hidden="1" customWidth="1"/>
    <col min="28" max="28" width="5.140625" style="326" customWidth="1"/>
    <col min="29" max="29" width="6.7109375" style="326" customWidth="1"/>
    <col min="30" max="30" width="5.5703125" style="326" customWidth="1"/>
    <col min="31" max="31" width="6.42578125" style="326" customWidth="1"/>
    <col min="32" max="32" width="5.5703125" style="326" customWidth="1"/>
    <col min="33" max="33" width="6.7109375" style="326" customWidth="1"/>
    <col min="34" max="34" width="6.140625" style="326" customWidth="1"/>
    <col min="35" max="35" width="8.5703125" style="326" customWidth="1"/>
    <col min="36" max="36" width="7.28515625" style="326" customWidth="1"/>
    <col min="37" max="37" width="6.140625" style="326" customWidth="1"/>
    <col min="38" max="38" width="6.7109375" style="326" customWidth="1"/>
    <col min="39" max="39" width="7.5703125" style="326" customWidth="1"/>
    <col min="40" max="41" width="4.85546875" style="700" hidden="1" customWidth="1"/>
    <col min="42" max="42" width="4.7109375" style="700" hidden="1" customWidth="1"/>
    <col min="43" max="43" width="5.140625" style="700" hidden="1" customWidth="1"/>
    <col min="44" max="44" width="4.5703125" style="700" hidden="1" customWidth="1"/>
    <col min="45" max="45" width="4.85546875" style="700" hidden="1" customWidth="1"/>
    <col min="46" max="46" width="6.28515625" style="326" customWidth="1"/>
    <col min="47" max="47" width="6.7109375" style="326" customWidth="1"/>
    <col min="48" max="48" width="8.28515625" style="326" customWidth="1"/>
    <col min="49" max="49" width="6.28515625" style="326" customWidth="1"/>
    <col min="50" max="50" width="5.140625" style="326" customWidth="1"/>
    <col min="51" max="51" width="7.42578125" style="326" customWidth="1"/>
    <col min="52" max="52" width="8.140625" style="326" customWidth="1"/>
    <col min="53" max="53" width="6.7109375" style="326" customWidth="1"/>
    <col min="54" max="54" width="8.42578125" style="326" customWidth="1"/>
    <col min="55" max="56" width="7.28515625" style="326" customWidth="1"/>
    <col min="57" max="57" width="14.5703125" style="326" customWidth="1"/>
    <col min="58" max="58" width="17.5703125" style="327" customWidth="1"/>
    <col min="59" max="59" width="9" style="326" bestFit="1" customWidth="1"/>
    <col min="60" max="60" width="10" style="326" customWidth="1"/>
    <col min="61" max="65" width="0" style="326" hidden="1" customWidth="1"/>
    <col min="66" max="16384" width="8.85546875" style="326"/>
  </cols>
  <sheetData>
    <row r="1" spans="1:64" ht="23.25" customHeight="1"/>
    <row r="3" spans="1:64" s="226" customFormat="1" ht="18.75" customHeight="1">
      <c r="C3" s="1285" t="s">
        <v>151</v>
      </c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1285"/>
      <c r="R3" s="1285"/>
      <c r="S3" s="1285"/>
      <c r="T3" s="1285"/>
      <c r="U3" s="1285"/>
      <c r="V3" s="1285"/>
      <c r="W3" s="1285"/>
      <c r="X3" s="1285"/>
      <c r="Y3" s="1285"/>
      <c r="Z3" s="1285"/>
      <c r="AA3" s="1285"/>
      <c r="AB3" s="1285"/>
      <c r="AC3" s="1285"/>
      <c r="AD3" s="1285"/>
      <c r="AE3" s="1285"/>
      <c r="AF3" s="1285"/>
      <c r="AG3" s="1285"/>
      <c r="AH3" s="1285"/>
      <c r="AI3" s="1285"/>
      <c r="AJ3" s="1285"/>
      <c r="AN3" s="739"/>
      <c r="AO3" s="739"/>
      <c r="AP3" s="739"/>
      <c r="AQ3" s="739"/>
      <c r="AR3" s="739"/>
      <c r="AS3" s="739"/>
      <c r="AT3" s="1286" t="s">
        <v>305</v>
      </c>
      <c r="AU3" s="1286"/>
      <c r="AV3" s="1286"/>
      <c r="AW3" s="1286"/>
      <c r="AX3" s="1286"/>
      <c r="AY3" s="736">
        <v>0</v>
      </c>
      <c r="AZ3" s="740" t="s">
        <v>306</v>
      </c>
      <c r="BA3" s="740" t="s">
        <v>307</v>
      </c>
      <c r="BB3" s="740" t="s">
        <v>308</v>
      </c>
      <c r="BC3" s="740" t="s">
        <v>576</v>
      </c>
      <c r="BD3" s="741"/>
      <c r="BE3" s="741"/>
      <c r="BF3" s="741"/>
      <c r="BG3" s="738"/>
    </row>
    <row r="4" spans="1:64" s="226" customFormat="1" ht="12.75">
      <c r="C4" s="867"/>
      <c r="D4" s="867"/>
      <c r="E4" s="742"/>
      <c r="F4" s="867"/>
      <c r="G4" s="737"/>
      <c r="H4" s="737"/>
      <c r="I4" s="737"/>
      <c r="R4" s="737"/>
      <c r="U4" s="737"/>
      <c r="AN4" s="739"/>
      <c r="AO4" s="739"/>
      <c r="AP4" s="739"/>
      <c r="AQ4" s="739"/>
      <c r="AR4" s="739"/>
      <c r="AS4" s="739"/>
      <c r="AT4" s="1287" t="s">
        <v>311</v>
      </c>
      <c r="AU4" s="1288"/>
      <c r="AV4" s="1288"/>
      <c r="AW4" s="1288"/>
      <c r="AX4" s="1289"/>
      <c r="AY4" s="736">
        <v>1</v>
      </c>
      <c r="AZ4" s="736">
        <v>4</v>
      </c>
      <c r="BA4" s="736">
        <v>5</v>
      </c>
      <c r="BB4" s="736">
        <v>2</v>
      </c>
      <c r="BC4" s="736">
        <f>BB4+BA4+AZ4+AY4</f>
        <v>12</v>
      </c>
      <c r="BD4" s="738"/>
      <c r="BE4" s="738"/>
      <c r="BF4" s="738"/>
      <c r="BG4" s="738"/>
    </row>
    <row r="5" spans="1:64" s="226" customFormat="1" ht="12.75" customHeight="1">
      <c r="C5" s="1290" t="s">
        <v>643</v>
      </c>
      <c r="D5" s="1290"/>
      <c r="E5" s="1290"/>
      <c r="F5" s="1290"/>
      <c r="G5" s="1290"/>
      <c r="H5" s="1290"/>
      <c r="I5" s="1290"/>
      <c r="J5" s="1290"/>
      <c r="K5" s="1290"/>
      <c r="L5" s="1290"/>
      <c r="M5" s="868"/>
      <c r="R5" s="737"/>
      <c r="U5" s="737"/>
      <c r="AN5" s="739"/>
      <c r="AO5" s="739"/>
      <c r="AP5" s="739"/>
      <c r="AQ5" s="739"/>
      <c r="AR5" s="739"/>
      <c r="AS5" s="739"/>
      <c r="AT5" s="1287" t="s">
        <v>312</v>
      </c>
      <c r="AU5" s="1288"/>
      <c r="AV5" s="1288"/>
      <c r="AW5" s="1288"/>
      <c r="AX5" s="1289"/>
      <c r="AY5" s="736">
        <v>1</v>
      </c>
      <c r="AZ5" s="736">
        <v>4</v>
      </c>
      <c r="BA5" s="736">
        <v>5</v>
      </c>
      <c r="BB5" s="736">
        <v>2</v>
      </c>
      <c r="BC5" s="736">
        <f t="shared" ref="BC5:BC12" si="0">BB5+BA5+AZ5+AY5</f>
        <v>12</v>
      </c>
      <c r="BD5" s="738"/>
      <c r="BE5" s="738"/>
      <c r="BF5" s="738"/>
      <c r="BG5" s="738"/>
    </row>
    <row r="6" spans="1:64" s="226" customFormat="1" ht="12.75">
      <c r="C6" s="818" t="s">
        <v>642</v>
      </c>
      <c r="D6" s="818"/>
      <c r="E6" s="819"/>
      <c r="F6" s="818"/>
      <c r="G6" s="868"/>
      <c r="H6" s="868"/>
      <c r="I6" s="868"/>
      <c r="J6" s="818"/>
      <c r="K6" s="818"/>
      <c r="L6" s="818"/>
      <c r="M6" s="818"/>
      <c r="N6" s="867"/>
      <c r="O6" s="867"/>
      <c r="P6" s="867"/>
      <c r="Q6" s="867"/>
      <c r="R6" s="737"/>
      <c r="S6" s="867"/>
      <c r="T6" s="867"/>
      <c r="U6" s="737"/>
      <c r="AN6" s="739"/>
      <c r="AO6" s="739"/>
      <c r="AP6" s="739"/>
      <c r="AQ6" s="739"/>
      <c r="AR6" s="739"/>
      <c r="AS6" s="739"/>
      <c r="AT6" s="1287" t="s">
        <v>313</v>
      </c>
      <c r="AU6" s="1288"/>
      <c r="AV6" s="1288"/>
      <c r="AW6" s="1288"/>
      <c r="AX6" s="1289"/>
      <c r="AY6" s="736">
        <v>9</v>
      </c>
      <c r="AZ6" s="736">
        <v>48</v>
      </c>
      <c r="BA6" s="736">
        <v>41</v>
      </c>
      <c r="BB6" s="736">
        <v>17</v>
      </c>
      <c r="BC6" s="736">
        <f>BB6+BA6+AZ6+AY6</f>
        <v>115</v>
      </c>
      <c r="BD6" s="738"/>
      <c r="BE6" s="738"/>
      <c r="BF6" s="738"/>
      <c r="BG6" s="738"/>
    </row>
    <row r="7" spans="1:64" s="226" customFormat="1" ht="12.75">
      <c r="C7" s="867"/>
      <c r="D7" s="867"/>
      <c r="E7" s="742"/>
      <c r="F7" s="867"/>
      <c r="G7" s="737"/>
      <c r="H7" s="737"/>
      <c r="I7" s="737"/>
      <c r="J7" s="867"/>
      <c r="K7" s="867"/>
      <c r="L7" s="867"/>
      <c r="M7" s="867"/>
      <c r="N7" s="867"/>
      <c r="O7" s="867"/>
      <c r="P7" s="867"/>
      <c r="Q7" s="867"/>
      <c r="R7" s="737"/>
      <c r="S7" s="867"/>
      <c r="T7" s="867"/>
      <c r="U7" s="737"/>
      <c r="AJ7" s="738"/>
      <c r="AN7" s="739"/>
      <c r="AO7" s="739"/>
      <c r="AP7" s="739"/>
      <c r="AQ7" s="739"/>
      <c r="AR7" s="739"/>
      <c r="AS7" s="739"/>
      <c r="AT7" s="1287" t="s">
        <v>314</v>
      </c>
      <c r="AU7" s="1288"/>
      <c r="AV7" s="1288"/>
      <c r="AW7" s="1288"/>
      <c r="AX7" s="1289"/>
      <c r="AY7" s="736"/>
      <c r="AZ7" s="736">
        <v>115</v>
      </c>
      <c r="BA7" s="736">
        <v>183</v>
      </c>
      <c r="BB7" s="736">
        <v>77</v>
      </c>
      <c r="BC7" s="736">
        <f>BB7+BA7+AZ7+AY7</f>
        <v>375</v>
      </c>
      <c r="BD7" s="738"/>
      <c r="BE7" s="738"/>
      <c r="BF7" s="738"/>
      <c r="BG7" s="738"/>
    </row>
    <row r="8" spans="1:64" s="226" customFormat="1" ht="12.75">
      <c r="E8" s="743"/>
      <c r="G8" s="737"/>
      <c r="H8" s="737"/>
      <c r="I8" s="737"/>
      <c r="R8" s="737"/>
      <c r="U8" s="737"/>
      <c r="AJ8" s="738"/>
      <c r="AN8" s="739"/>
      <c r="AO8" s="739"/>
      <c r="AP8" s="739"/>
      <c r="AQ8" s="739"/>
      <c r="AR8" s="739"/>
      <c r="AS8" s="739"/>
      <c r="AT8" s="1287" t="s">
        <v>316</v>
      </c>
      <c r="AU8" s="1288"/>
      <c r="AV8" s="1288"/>
      <c r="AW8" s="1288"/>
      <c r="AX8" s="1289"/>
      <c r="AY8" s="736"/>
      <c r="AZ8" s="736">
        <v>107</v>
      </c>
      <c r="BA8" s="736">
        <v>173</v>
      </c>
      <c r="BB8" s="736">
        <v>76</v>
      </c>
      <c r="BC8" s="736">
        <f t="shared" si="0"/>
        <v>356</v>
      </c>
      <c r="BD8" s="738"/>
      <c r="BE8" s="738"/>
      <c r="BF8" s="738"/>
      <c r="BG8" s="738"/>
    </row>
    <row r="9" spans="1:64" s="226" customFormat="1" ht="12.75" customHeight="1">
      <c r="E9" s="695"/>
      <c r="G9" s="737"/>
      <c r="H9" s="737"/>
      <c r="I9" s="737"/>
      <c r="R9" s="737"/>
      <c r="U9" s="737"/>
      <c r="AN9" s="739"/>
      <c r="AO9" s="739"/>
      <c r="AP9" s="739"/>
      <c r="AQ9" s="739"/>
      <c r="AR9" s="739"/>
      <c r="AS9" s="739"/>
      <c r="AT9" s="1287" t="s">
        <v>608</v>
      </c>
      <c r="AU9" s="1288"/>
      <c r="AV9" s="1288"/>
      <c r="AW9" s="1288"/>
      <c r="AX9" s="1289"/>
      <c r="AY9" s="744"/>
      <c r="AZ9" s="736">
        <v>8</v>
      </c>
      <c r="BA9" s="736">
        <v>10</v>
      </c>
      <c r="BB9" s="736">
        <v>1</v>
      </c>
      <c r="BC9" s="736">
        <f t="shared" si="0"/>
        <v>19</v>
      </c>
      <c r="BD9" s="738"/>
      <c r="BE9" s="738"/>
      <c r="BF9" s="738"/>
      <c r="BG9" s="738"/>
      <c r="BH9" s="738"/>
    </row>
    <row r="10" spans="1:64" s="226" customFormat="1" ht="12.75" customHeight="1">
      <c r="E10" s="695"/>
      <c r="G10" s="737"/>
      <c r="H10" s="737"/>
      <c r="I10" s="737"/>
      <c r="R10" s="737"/>
      <c r="U10" s="737"/>
      <c r="AN10" s="739"/>
      <c r="AO10" s="739"/>
      <c r="AP10" s="739"/>
      <c r="AQ10" s="739"/>
      <c r="AR10" s="739"/>
      <c r="AS10" s="739"/>
      <c r="AT10" s="864"/>
      <c r="AU10" s="865"/>
      <c r="AV10" s="865" t="s">
        <v>607</v>
      </c>
      <c r="AW10" s="865"/>
      <c r="AX10" s="866"/>
      <c r="AY10" s="744"/>
      <c r="AZ10" s="736">
        <v>4</v>
      </c>
      <c r="BA10" s="736">
        <v>3</v>
      </c>
      <c r="BB10" s="736"/>
      <c r="BC10" s="736">
        <v>7</v>
      </c>
      <c r="BD10" s="738"/>
      <c r="BE10" s="738"/>
      <c r="BF10" s="738"/>
      <c r="BG10" s="738"/>
      <c r="BH10" s="738"/>
    </row>
    <row r="11" spans="1:64" s="226" customFormat="1" ht="12.75" customHeight="1">
      <c r="E11" s="695"/>
      <c r="G11" s="737"/>
      <c r="H11" s="737"/>
      <c r="I11" s="737"/>
      <c r="R11" s="737"/>
      <c r="U11" s="737"/>
      <c r="AN11" s="739"/>
      <c r="AO11" s="739"/>
      <c r="AP11" s="739"/>
      <c r="AQ11" s="739"/>
      <c r="AR11" s="739"/>
      <c r="AS11" s="739"/>
      <c r="AT11" s="864"/>
      <c r="AU11" s="865" t="s">
        <v>637</v>
      </c>
      <c r="AV11" s="865"/>
      <c r="AW11" s="865"/>
      <c r="AX11" s="866"/>
      <c r="AY11" s="744"/>
      <c r="AZ11" s="736">
        <v>4</v>
      </c>
      <c r="BA11" s="736">
        <v>0</v>
      </c>
      <c r="BB11" s="736">
        <v>0</v>
      </c>
      <c r="BC11" s="736">
        <v>4</v>
      </c>
      <c r="BD11" s="738"/>
      <c r="BE11" s="738"/>
      <c r="BF11" s="738"/>
      <c r="BG11" s="738"/>
      <c r="BH11" s="738"/>
    </row>
    <row r="12" spans="1:64" s="226" customFormat="1" ht="13.5" customHeight="1">
      <c r="E12" s="743"/>
      <c r="G12" s="737"/>
      <c r="H12" s="737"/>
      <c r="I12" s="737"/>
      <c r="R12" s="737"/>
      <c r="U12" s="737"/>
      <c r="AN12" s="739"/>
      <c r="AO12" s="739"/>
      <c r="AP12" s="739"/>
      <c r="AQ12" s="739"/>
      <c r="AR12" s="739"/>
      <c r="AS12" s="739"/>
      <c r="AT12" s="1287" t="s">
        <v>650</v>
      </c>
      <c r="AU12" s="1288"/>
      <c r="AV12" s="1288"/>
      <c r="AW12" s="1288"/>
      <c r="AX12" s="1289"/>
      <c r="AY12" s="736"/>
      <c r="AZ12" s="736">
        <v>0</v>
      </c>
      <c r="BA12" s="736">
        <v>7</v>
      </c>
      <c r="BB12" s="736">
        <v>1</v>
      </c>
      <c r="BC12" s="736">
        <f t="shared" si="0"/>
        <v>8</v>
      </c>
      <c r="BD12" s="738"/>
      <c r="BE12" s="738"/>
      <c r="BF12" s="738"/>
      <c r="BG12" s="738"/>
    </row>
    <row r="13" spans="1:64" s="745" customFormat="1" ht="17.25" customHeight="1">
      <c r="E13" s="746"/>
      <c r="G13" s="755"/>
      <c r="H13" s="755"/>
      <c r="I13" s="755"/>
      <c r="R13" s="755"/>
      <c r="U13" s="755"/>
      <c r="AM13" s="747"/>
      <c r="AN13" s="747"/>
      <c r="AO13" s="747"/>
      <c r="AP13" s="747"/>
      <c r="AQ13" s="747"/>
      <c r="AR13" s="747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9"/>
    </row>
    <row r="14" spans="1:64" s="762" customFormat="1" ht="13.5" customHeight="1">
      <c r="A14" s="869" t="s">
        <v>265</v>
      </c>
      <c r="B14" s="1294" t="s">
        <v>396</v>
      </c>
      <c r="C14" s="1301" t="s">
        <v>397</v>
      </c>
      <c r="D14" s="1301" t="s">
        <v>598</v>
      </c>
      <c r="E14" s="1304" t="s">
        <v>614</v>
      </c>
      <c r="F14" s="1282" t="s">
        <v>580</v>
      </c>
      <c r="G14" s="1282" t="s">
        <v>398</v>
      </c>
      <c r="H14" s="1294" t="s">
        <v>613</v>
      </c>
      <c r="I14" s="1297" t="s">
        <v>271</v>
      </c>
      <c r="J14" s="870" t="s">
        <v>430</v>
      </c>
      <c r="K14" s="870" t="s">
        <v>430</v>
      </c>
      <c r="L14" s="1294" t="s">
        <v>330</v>
      </c>
      <c r="M14" s="871"/>
      <c r="N14" s="1307" t="s">
        <v>431</v>
      </c>
      <c r="O14" s="1308"/>
      <c r="P14" s="1309"/>
      <c r="Q14" s="872"/>
      <c r="R14" s="1291" t="s">
        <v>332</v>
      </c>
      <c r="S14" s="1292"/>
      <c r="T14" s="1293"/>
      <c r="U14" s="1294" t="s">
        <v>273</v>
      </c>
      <c r="V14" s="1314" t="s">
        <v>333</v>
      </c>
      <c r="W14" s="1315"/>
      <c r="X14" s="1315"/>
      <c r="Y14" s="1316"/>
      <c r="Z14" s="863"/>
      <c r="AA14" s="863"/>
      <c r="AB14" s="1317" t="s">
        <v>334</v>
      </c>
      <c r="AC14" s="1317"/>
      <c r="AD14" s="1317"/>
      <c r="AE14" s="1317"/>
      <c r="AF14" s="1317"/>
      <c r="AG14" s="1318"/>
      <c r="AH14" s="1319" t="s">
        <v>443</v>
      </c>
      <c r="AI14" s="1320"/>
      <c r="AJ14" s="1320"/>
      <c r="AK14" s="1320"/>
      <c r="AL14" s="1320"/>
      <c r="AM14" s="1321"/>
      <c r="AN14" s="1310" t="s">
        <v>432</v>
      </c>
      <c r="AO14" s="1310"/>
      <c r="AP14" s="1310"/>
      <c r="AQ14" s="1310"/>
      <c r="AR14" s="1310"/>
      <c r="AS14" s="1310"/>
      <c r="AT14" s="1310" t="s">
        <v>336</v>
      </c>
      <c r="AU14" s="1310"/>
      <c r="AV14" s="1310"/>
      <c r="AW14" s="1310"/>
      <c r="AX14" s="1310"/>
      <c r="AY14" s="1310"/>
      <c r="AZ14" s="1322" t="s">
        <v>596</v>
      </c>
      <c r="BA14" s="1310" t="s">
        <v>338</v>
      </c>
      <c r="BB14" s="1327" t="s">
        <v>593</v>
      </c>
      <c r="BC14" s="1327" t="s">
        <v>666</v>
      </c>
      <c r="BD14" s="1322" t="s">
        <v>667</v>
      </c>
      <c r="BE14" s="1322" t="s">
        <v>599</v>
      </c>
      <c r="BF14" s="1322" t="s">
        <v>600</v>
      </c>
      <c r="BG14" s="761"/>
      <c r="BH14" s="761"/>
      <c r="BI14" s="761"/>
      <c r="BJ14" s="761"/>
      <c r="BK14" s="761"/>
      <c r="BL14" s="1322" t="s">
        <v>594</v>
      </c>
    </row>
    <row r="15" spans="1:64" s="762" customFormat="1" ht="13.5" customHeight="1">
      <c r="A15" s="873"/>
      <c r="B15" s="1296"/>
      <c r="C15" s="1302"/>
      <c r="D15" s="1302"/>
      <c r="E15" s="1305"/>
      <c r="F15" s="1283"/>
      <c r="G15" s="1283"/>
      <c r="H15" s="1295"/>
      <c r="I15" s="1298"/>
      <c r="J15" s="873">
        <v>18</v>
      </c>
      <c r="K15" s="873">
        <v>20</v>
      </c>
      <c r="L15" s="1295"/>
      <c r="M15" s="874"/>
      <c r="N15" s="1325" t="s">
        <v>306</v>
      </c>
      <c r="O15" s="1325" t="s">
        <v>507</v>
      </c>
      <c r="P15" s="1325" t="s">
        <v>508</v>
      </c>
      <c r="Q15" s="875"/>
      <c r="R15" s="1325" t="s">
        <v>306</v>
      </c>
      <c r="S15" s="1325" t="s">
        <v>507</v>
      </c>
      <c r="T15" s="1325" t="s">
        <v>508</v>
      </c>
      <c r="U15" s="1295"/>
      <c r="V15" s="763">
        <v>0.1</v>
      </c>
      <c r="W15" s="763">
        <v>0.2</v>
      </c>
      <c r="X15" s="764">
        <v>0.125</v>
      </c>
      <c r="Y15" s="763">
        <v>0.25</v>
      </c>
      <c r="Z15" s="763" t="s">
        <v>434</v>
      </c>
      <c r="AA15" s="763" t="s">
        <v>434</v>
      </c>
      <c r="AB15" s="1313" t="s">
        <v>349</v>
      </c>
      <c r="AC15" s="1311"/>
      <c r="AD15" s="1311" t="s">
        <v>350</v>
      </c>
      <c r="AE15" s="1311"/>
      <c r="AF15" s="1311" t="s">
        <v>344</v>
      </c>
      <c r="AG15" s="1311"/>
      <c r="AH15" s="1311" t="s">
        <v>349</v>
      </c>
      <c r="AI15" s="1311"/>
      <c r="AJ15" s="1300" t="s">
        <v>350</v>
      </c>
      <c r="AK15" s="1300"/>
      <c r="AL15" s="1300" t="s">
        <v>344</v>
      </c>
      <c r="AM15" s="1300"/>
      <c r="AN15" s="1312" t="s">
        <v>435</v>
      </c>
      <c r="AO15" s="1313"/>
      <c r="AP15" s="1300" t="s">
        <v>350</v>
      </c>
      <c r="AQ15" s="1300"/>
      <c r="AR15" s="1300" t="s">
        <v>344</v>
      </c>
      <c r="AS15" s="1329"/>
      <c r="AT15" s="1330" t="s">
        <v>349</v>
      </c>
      <c r="AU15" s="1330"/>
      <c r="AV15" s="1310" t="s">
        <v>350</v>
      </c>
      <c r="AW15" s="1310"/>
      <c r="AX15" s="1310" t="s">
        <v>344</v>
      </c>
      <c r="AY15" s="1310"/>
      <c r="AZ15" s="1323"/>
      <c r="BA15" s="1310"/>
      <c r="BB15" s="1327"/>
      <c r="BC15" s="1327"/>
      <c r="BD15" s="1323"/>
      <c r="BE15" s="1323"/>
      <c r="BF15" s="1323"/>
      <c r="BG15" s="761"/>
      <c r="BH15" s="761"/>
      <c r="BI15" s="761"/>
      <c r="BJ15" s="761"/>
      <c r="BK15" s="761"/>
      <c r="BL15" s="1323"/>
    </row>
    <row r="16" spans="1:64" s="773" customFormat="1" ht="13.5" customHeight="1">
      <c r="A16" s="796"/>
      <c r="B16" s="796"/>
      <c r="C16" s="1303"/>
      <c r="D16" s="1303"/>
      <c r="E16" s="1306"/>
      <c r="F16" s="1284"/>
      <c r="G16" s="1284"/>
      <c r="H16" s="1296"/>
      <c r="I16" s="1299"/>
      <c r="J16" s="796"/>
      <c r="K16" s="796"/>
      <c r="L16" s="1296"/>
      <c r="M16" s="876" t="s">
        <v>639</v>
      </c>
      <c r="N16" s="1326"/>
      <c r="O16" s="1326"/>
      <c r="P16" s="1326"/>
      <c r="Q16" s="877" t="s">
        <v>639</v>
      </c>
      <c r="R16" s="1326"/>
      <c r="S16" s="1326"/>
      <c r="T16" s="1326"/>
      <c r="U16" s="1296"/>
      <c r="V16" s="767"/>
      <c r="W16" s="767"/>
      <c r="X16" s="767"/>
      <c r="Y16" s="767"/>
      <c r="Z16" s="767" t="s">
        <v>436</v>
      </c>
      <c r="AA16" s="767"/>
      <c r="AB16" s="768">
        <v>0.5</v>
      </c>
      <c r="AC16" s="769">
        <v>1</v>
      </c>
      <c r="AD16" s="769">
        <v>0.5</v>
      </c>
      <c r="AE16" s="769">
        <v>1</v>
      </c>
      <c r="AF16" s="769">
        <v>0.5</v>
      </c>
      <c r="AG16" s="769">
        <v>1</v>
      </c>
      <c r="AH16" s="769">
        <v>0.5</v>
      </c>
      <c r="AI16" s="769">
        <v>1</v>
      </c>
      <c r="AJ16" s="769">
        <v>0.5</v>
      </c>
      <c r="AK16" s="769">
        <v>1</v>
      </c>
      <c r="AL16" s="769">
        <v>0.5</v>
      </c>
      <c r="AM16" s="769">
        <v>1</v>
      </c>
      <c r="AN16" s="770" t="s">
        <v>351</v>
      </c>
      <c r="AO16" s="770" t="s">
        <v>352</v>
      </c>
      <c r="AP16" s="770" t="s">
        <v>351</v>
      </c>
      <c r="AQ16" s="770" t="s">
        <v>352</v>
      </c>
      <c r="AR16" s="770" t="s">
        <v>351</v>
      </c>
      <c r="AS16" s="771" t="s">
        <v>352</v>
      </c>
      <c r="AT16" s="769">
        <v>0.5</v>
      </c>
      <c r="AU16" s="769">
        <v>1</v>
      </c>
      <c r="AV16" s="769">
        <v>0.5</v>
      </c>
      <c r="AW16" s="769">
        <v>1</v>
      </c>
      <c r="AX16" s="769">
        <v>0.5</v>
      </c>
      <c r="AY16" s="769">
        <v>1</v>
      </c>
      <c r="AZ16" s="1324"/>
      <c r="BA16" s="1310"/>
      <c r="BB16" s="1327"/>
      <c r="BC16" s="1327"/>
      <c r="BD16" s="1324"/>
      <c r="BE16" s="1324"/>
      <c r="BF16" s="1324"/>
      <c r="BG16" s="772"/>
      <c r="BH16" s="772"/>
      <c r="BI16" s="772"/>
      <c r="BJ16" s="772"/>
      <c r="BK16" s="772"/>
      <c r="BL16" s="1324"/>
    </row>
    <row r="17" spans="1:64" s="773" customFormat="1" ht="15" customHeight="1">
      <c r="A17" s="795">
        <v>1</v>
      </c>
      <c r="B17" s="797" t="s">
        <v>358</v>
      </c>
      <c r="C17" s="797" t="s">
        <v>403</v>
      </c>
      <c r="D17" s="796" t="s">
        <v>582</v>
      </c>
      <c r="E17" s="797" t="s">
        <v>606</v>
      </c>
      <c r="F17" s="796" t="s">
        <v>374</v>
      </c>
      <c r="G17" s="796">
        <v>17697</v>
      </c>
      <c r="H17" s="796">
        <v>3.08</v>
      </c>
      <c r="I17" s="798">
        <f>G17*H17</f>
        <v>54506.76</v>
      </c>
      <c r="J17" s="795">
        <v>18</v>
      </c>
      <c r="K17" s="795">
        <v>18</v>
      </c>
      <c r="L17" s="799">
        <f>1/18*(N17+O17+P17)</f>
        <v>1.5</v>
      </c>
      <c r="M17" s="799"/>
      <c r="N17" s="795"/>
      <c r="O17" s="798">
        <v>25</v>
      </c>
      <c r="P17" s="796">
        <v>2</v>
      </c>
      <c r="Q17" s="796"/>
      <c r="R17" s="798">
        <f>I17/J17*N17</f>
        <v>0</v>
      </c>
      <c r="S17" s="798">
        <f t="shared" ref="S17:S40" si="1">I17/J17*O17</f>
        <v>75703.833333333343</v>
      </c>
      <c r="T17" s="798">
        <f t="shared" ref="T17:T44" si="2">I17/J17*P17</f>
        <v>6056.3066666666673</v>
      </c>
      <c r="U17" s="798">
        <f>(R17+S17+T17)*25%</f>
        <v>20440.035000000003</v>
      </c>
      <c r="V17" s="800">
        <v>0.1</v>
      </c>
      <c r="W17" s="800">
        <v>0.2</v>
      </c>
      <c r="X17" s="801">
        <v>0.125</v>
      </c>
      <c r="Y17" s="800">
        <v>0.25</v>
      </c>
      <c r="Z17" s="800">
        <v>0.15</v>
      </c>
      <c r="AA17" s="800">
        <v>0.3</v>
      </c>
      <c r="AB17" s="802"/>
      <c r="AC17" s="802"/>
      <c r="AD17" s="802">
        <v>25</v>
      </c>
      <c r="AE17" s="803"/>
      <c r="AF17" s="802">
        <v>2</v>
      </c>
      <c r="AG17" s="804"/>
      <c r="AH17" s="804">
        <f t="shared" ref="AH17:AH26" si="3">G17*20%/18*AB17*50%</f>
        <v>0</v>
      </c>
      <c r="AI17" s="804"/>
      <c r="AJ17" s="804">
        <f>G17*25%/18*AD17*50%</f>
        <v>3072.395833333333</v>
      </c>
      <c r="AK17" s="804"/>
      <c r="AL17" s="804">
        <f>G17*20%/J17*AF17*50%</f>
        <v>196.63333333333333</v>
      </c>
      <c r="AM17" s="804"/>
      <c r="AN17" s="795"/>
      <c r="AO17" s="795"/>
      <c r="AP17" s="795"/>
      <c r="AQ17" s="804">
        <f>G17*Y17/J17*AP17</f>
        <v>0</v>
      </c>
      <c r="AR17" s="795"/>
      <c r="AS17" s="804">
        <f>G17*Y17/J17*AR17</f>
        <v>0</v>
      </c>
      <c r="AT17" s="803"/>
      <c r="AU17" s="803"/>
      <c r="AV17" s="803">
        <v>2655</v>
      </c>
      <c r="AW17" s="805"/>
      <c r="AX17" s="803"/>
      <c r="AY17" s="803"/>
      <c r="AZ17" s="803"/>
      <c r="BA17" s="803">
        <v>3539</v>
      </c>
      <c r="BB17" s="802"/>
      <c r="BC17" s="802"/>
      <c r="BD17" s="802"/>
      <c r="BE17" s="802">
        <f>(R17+S17+T17+U17)*0.1</f>
        <v>10220.017500000002</v>
      </c>
      <c r="BF17" s="802">
        <f>R17+S17+T17+U17+AH17+AI17+AJ17+AK17+AL17+AM17+AT17+AU17+AV17+AW17+AX17+AY17+AZ17+BE17+BD17+BB17+BA17</f>
        <v>121883.22166666668</v>
      </c>
      <c r="BG17" s="772"/>
      <c r="BH17" s="775"/>
      <c r="BI17" s="772"/>
      <c r="BJ17" s="772"/>
      <c r="BK17" s="792"/>
      <c r="BL17" s="774" t="e">
        <f>#REF!</f>
        <v>#REF!</v>
      </c>
    </row>
    <row r="18" spans="1:64" s="762" customFormat="1" ht="15.75" customHeight="1">
      <c r="A18" s="806">
        <v>2</v>
      </c>
      <c r="B18" s="806" t="s">
        <v>1</v>
      </c>
      <c r="C18" s="806" t="s">
        <v>403</v>
      </c>
      <c r="D18" s="807" t="s">
        <v>585</v>
      </c>
      <c r="E18" s="795" t="s">
        <v>617</v>
      </c>
      <c r="F18" s="806" t="s">
        <v>401</v>
      </c>
      <c r="G18" s="807">
        <v>17697</v>
      </c>
      <c r="H18" s="807">
        <v>4.7</v>
      </c>
      <c r="I18" s="798">
        <f t="shared" ref="I18:I44" si="4">G18*H18</f>
        <v>83175.900000000009</v>
      </c>
      <c r="J18" s="806">
        <v>18</v>
      </c>
      <c r="K18" s="806">
        <v>18</v>
      </c>
      <c r="L18" s="799">
        <f t="shared" ref="L18:L44" si="5">1/18*(N18+O18+P18)</f>
        <v>1</v>
      </c>
      <c r="M18" s="799"/>
      <c r="N18" s="808"/>
      <c r="O18" s="808">
        <v>12</v>
      </c>
      <c r="P18" s="808">
        <v>6</v>
      </c>
      <c r="Q18" s="808"/>
      <c r="R18" s="798"/>
      <c r="S18" s="798">
        <f t="shared" si="1"/>
        <v>55450.600000000006</v>
      </c>
      <c r="T18" s="798">
        <f t="shared" si="2"/>
        <v>27725.300000000003</v>
      </c>
      <c r="U18" s="798">
        <f>(R18+S18+T18)*25%</f>
        <v>20793.975000000002</v>
      </c>
      <c r="V18" s="809">
        <v>0.1</v>
      </c>
      <c r="W18" s="809">
        <v>0.2</v>
      </c>
      <c r="X18" s="810">
        <v>0.125</v>
      </c>
      <c r="Y18" s="809">
        <v>0.25</v>
      </c>
      <c r="Z18" s="809">
        <v>0.15</v>
      </c>
      <c r="AA18" s="809">
        <v>0.3</v>
      </c>
      <c r="AB18" s="811"/>
      <c r="AC18" s="811"/>
      <c r="AD18" s="811">
        <v>12</v>
      </c>
      <c r="AE18" s="808"/>
      <c r="AF18" s="808">
        <v>6</v>
      </c>
      <c r="AG18" s="812"/>
      <c r="AH18" s="804">
        <f t="shared" si="3"/>
        <v>0</v>
      </c>
      <c r="AI18" s="812"/>
      <c r="AJ18" s="804">
        <f>G18*25%/18*AD18*50%</f>
        <v>1474.75</v>
      </c>
      <c r="AK18" s="812"/>
      <c r="AL18" s="804">
        <f>G18*25%/J18*AF18*50%</f>
        <v>737.375</v>
      </c>
      <c r="AM18" s="812"/>
      <c r="AN18" s="808"/>
      <c r="AO18" s="812"/>
      <c r="AP18" s="808"/>
      <c r="AQ18" s="812"/>
      <c r="AR18" s="808"/>
      <c r="AS18" s="812"/>
      <c r="AT18" s="808"/>
      <c r="AU18" s="808"/>
      <c r="AV18" s="811"/>
      <c r="AW18" s="808"/>
      <c r="AX18" s="811"/>
      <c r="AY18" s="808"/>
      <c r="AZ18" s="808"/>
      <c r="BA18" s="811"/>
      <c r="BB18" s="811"/>
      <c r="BC18" s="811"/>
      <c r="BD18" s="811"/>
      <c r="BE18" s="802">
        <f t="shared" ref="BE18:BE43" si="6">(R18+S18+T18+U18)*0.1</f>
        <v>10396.987500000003</v>
      </c>
      <c r="BF18" s="802">
        <f t="shared" ref="BF18:BF44" si="7">R18+S18+T18+U18+AH18+AI18+AJ18+AK18+AL18+AM18+AT18+AU18+AV18+AW18+AX18+AY18+AZ18+BE18+BD18+BB18+BA18</f>
        <v>116578.98750000002</v>
      </c>
      <c r="BG18" s="761"/>
      <c r="BH18" s="793"/>
      <c r="BI18" s="761"/>
      <c r="BJ18" s="761"/>
      <c r="BK18" s="794"/>
      <c r="BL18" s="774" t="e">
        <f>#REF!</f>
        <v>#REF!</v>
      </c>
    </row>
    <row r="19" spans="1:64" s="773" customFormat="1" ht="15.75" customHeight="1">
      <c r="A19" s="795">
        <v>3</v>
      </c>
      <c r="B19" s="795" t="s">
        <v>394</v>
      </c>
      <c r="C19" s="795" t="s">
        <v>403</v>
      </c>
      <c r="D19" s="796" t="s">
        <v>581</v>
      </c>
      <c r="E19" s="795" t="s">
        <v>618</v>
      </c>
      <c r="F19" s="795" t="s">
        <v>374</v>
      </c>
      <c r="G19" s="796">
        <v>17697</v>
      </c>
      <c r="H19" s="796">
        <v>4.3</v>
      </c>
      <c r="I19" s="798">
        <f t="shared" si="4"/>
        <v>76097.099999999991</v>
      </c>
      <c r="J19" s="795">
        <v>18</v>
      </c>
      <c r="K19" s="795">
        <v>18</v>
      </c>
      <c r="L19" s="799">
        <f t="shared" si="5"/>
        <v>1</v>
      </c>
      <c r="M19" s="799"/>
      <c r="N19" s="803"/>
      <c r="O19" s="803">
        <v>8</v>
      </c>
      <c r="P19" s="803">
        <v>10</v>
      </c>
      <c r="Q19" s="803"/>
      <c r="R19" s="798">
        <f>I19/J19*N19</f>
        <v>0</v>
      </c>
      <c r="S19" s="798">
        <f t="shared" si="1"/>
        <v>33820.933333333327</v>
      </c>
      <c r="T19" s="798">
        <f t="shared" si="2"/>
        <v>42276.166666666657</v>
      </c>
      <c r="U19" s="798">
        <f t="shared" ref="U19:U43" si="8">(R19+S19+T19)*25%</f>
        <v>19024.274999999994</v>
      </c>
      <c r="V19" s="800">
        <v>0.1</v>
      </c>
      <c r="W19" s="800">
        <v>0.2</v>
      </c>
      <c r="X19" s="801">
        <v>0.125</v>
      </c>
      <c r="Y19" s="800">
        <v>0.25</v>
      </c>
      <c r="Z19" s="800">
        <v>0.15</v>
      </c>
      <c r="AA19" s="800">
        <v>0.3</v>
      </c>
      <c r="AB19" s="803"/>
      <c r="AC19" s="802"/>
      <c r="AD19" s="802">
        <v>8</v>
      </c>
      <c r="AE19" s="803"/>
      <c r="AF19" s="803">
        <v>10</v>
      </c>
      <c r="AG19" s="804"/>
      <c r="AH19" s="804">
        <f t="shared" si="3"/>
        <v>0</v>
      </c>
      <c r="AI19" s="803"/>
      <c r="AJ19" s="804">
        <f>G19*25%/18*AD19*50%</f>
        <v>983.16666666666663</v>
      </c>
      <c r="AK19" s="804"/>
      <c r="AL19" s="804">
        <v>1229</v>
      </c>
      <c r="AM19" s="795"/>
      <c r="AN19" s="803"/>
      <c r="AO19" s="795"/>
      <c r="AP19" s="803"/>
      <c r="AQ19" s="795"/>
      <c r="AR19" s="803"/>
      <c r="AS19" s="795"/>
      <c r="AT19" s="803"/>
      <c r="AU19" s="803"/>
      <c r="AV19" s="802"/>
      <c r="AW19" s="803"/>
      <c r="AX19" s="805"/>
      <c r="AY19" s="803"/>
      <c r="AZ19" s="803"/>
      <c r="BA19" s="802"/>
      <c r="BB19" s="802"/>
      <c r="BC19" s="802"/>
      <c r="BD19" s="802"/>
      <c r="BE19" s="802">
        <f t="shared" si="6"/>
        <v>9512.1374999999971</v>
      </c>
      <c r="BF19" s="802">
        <f t="shared" si="7"/>
        <v>106845.67916666664</v>
      </c>
      <c r="BG19" s="772"/>
      <c r="BH19" s="775"/>
      <c r="BI19" s="772"/>
      <c r="BJ19" s="772"/>
      <c r="BK19" s="792"/>
      <c r="BL19" s="774" t="e">
        <f>#REF!</f>
        <v>#REF!</v>
      </c>
    </row>
    <row r="20" spans="1:64" s="773" customFormat="1" ht="15.75" customHeight="1">
      <c r="A20" s="795">
        <v>4</v>
      </c>
      <c r="B20" s="795" t="s">
        <v>372</v>
      </c>
      <c r="C20" s="795" t="s">
        <v>403</v>
      </c>
      <c r="D20" s="796" t="s">
        <v>581</v>
      </c>
      <c r="E20" s="795" t="s">
        <v>604</v>
      </c>
      <c r="F20" s="795" t="s">
        <v>374</v>
      </c>
      <c r="G20" s="796">
        <v>17697</v>
      </c>
      <c r="H20" s="796">
        <v>4.2300000000000004</v>
      </c>
      <c r="I20" s="798">
        <f t="shared" si="4"/>
        <v>74858.310000000012</v>
      </c>
      <c r="J20" s="795">
        <v>18</v>
      </c>
      <c r="K20" s="795">
        <v>18</v>
      </c>
      <c r="L20" s="799">
        <f t="shared" si="5"/>
        <v>1</v>
      </c>
      <c r="M20" s="799"/>
      <c r="N20" s="803"/>
      <c r="O20" s="803">
        <v>14</v>
      </c>
      <c r="P20" s="803">
        <v>4</v>
      </c>
      <c r="Q20" s="803"/>
      <c r="R20" s="798">
        <v>0</v>
      </c>
      <c r="S20" s="798">
        <f t="shared" si="1"/>
        <v>58223.130000000012</v>
      </c>
      <c r="T20" s="798">
        <f t="shared" si="2"/>
        <v>16635.180000000004</v>
      </c>
      <c r="U20" s="798">
        <f t="shared" si="8"/>
        <v>18714.577500000003</v>
      </c>
      <c r="V20" s="800">
        <v>0.1</v>
      </c>
      <c r="W20" s="800">
        <v>0.2</v>
      </c>
      <c r="X20" s="801">
        <v>0.125</v>
      </c>
      <c r="Y20" s="800">
        <v>0.25</v>
      </c>
      <c r="Z20" s="800">
        <v>0.15</v>
      </c>
      <c r="AA20" s="800">
        <v>0.3</v>
      </c>
      <c r="AB20" s="803"/>
      <c r="AC20" s="802"/>
      <c r="AD20" s="802"/>
      <c r="AE20" s="803"/>
      <c r="AF20" s="803"/>
      <c r="AG20" s="804"/>
      <c r="AH20" s="804">
        <f t="shared" si="3"/>
        <v>0</v>
      </c>
      <c r="AI20" s="803"/>
      <c r="AJ20" s="804">
        <f>G20*20%/18*AD20*50%</f>
        <v>0</v>
      </c>
      <c r="AK20" s="804"/>
      <c r="AL20" s="804">
        <f>G20*20%/J20*AF20*50%</f>
        <v>0</v>
      </c>
      <c r="AM20" s="795"/>
      <c r="AN20" s="803"/>
      <c r="AO20" s="795"/>
      <c r="AP20" s="803"/>
      <c r="AQ20" s="795"/>
      <c r="AR20" s="803"/>
      <c r="AS20" s="795"/>
      <c r="AT20" s="803"/>
      <c r="AU20" s="803"/>
      <c r="AV20" s="805">
        <v>2655</v>
      </c>
      <c r="AW20" s="803"/>
      <c r="AX20" s="805"/>
      <c r="AY20" s="803"/>
      <c r="AZ20" s="803"/>
      <c r="BA20" s="802">
        <v>3539</v>
      </c>
      <c r="BB20" s="802"/>
      <c r="BC20" s="802"/>
      <c r="BD20" s="802"/>
      <c r="BE20" s="802">
        <f t="shared" si="6"/>
        <v>9357.2887500000015</v>
      </c>
      <c r="BF20" s="802">
        <f t="shared" si="7"/>
        <v>109124.17625000002</v>
      </c>
      <c r="BG20" s="772"/>
      <c r="BH20" s="775"/>
      <c r="BI20" s="772"/>
      <c r="BJ20" s="772"/>
      <c r="BK20" s="792"/>
      <c r="BL20" s="774" t="e">
        <f>#REF!</f>
        <v>#REF!</v>
      </c>
    </row>
    <row r="21" spans="1:64" s="773" customFormat="1" ht="15.75" customHeight="1">
      <c r="A21" s="795">
        <v>5</v>
      </c>
      <c r="B21" s="795" t="s">
        <v>220</v>
      </c>
      <c r="C21" s="795" t="s">
        <v>403</v>
      </c>
      <c r="D21" s="796" t="s">
        <v>583</v>
      </c>
      <c r="E21" s="795" t="s">
        <v>619</v>
      </c>
      <c r="F21" s="813" t="s">
        <v>300</v>
      </c>
      <c r="G21" s="796">
        <v>17697</v>
      </c>
      <c r="H21" s="796">
        <v>4.0599999999999996</v>
      </c>
      <c r="I21" s="798">
        <f t="shared" si="4"/>
        <v>71849.819999999992</v>
      </c>
      <c r="J21" s="795">
        <v>18</v>
      </c>
      <c r="K21" s="795">
        <v>18</v>
      </c>
      <c r="L21" s="799">
        <f t="shared" si="5"/>
        <v>1</v>
      </c>
      <c r="M21" s="799"/>
      <c r="N21" s="803"/>
      <c r="O21" s="803">
        <v>18</v>
      </c>
      <c r="P21" s="803"/>
      <c r="Q21" s="803"/>
      <c r="R21" s="798">
        <f t="shared" ref="R21:R41" si="9">I21/J21*N21</f>
        <v>0</v>
      </c>
      <c r="S21" s="798">
        <f t="shared" si="1"/>
        <v>71849.819999999992</v>
      </c>
      <c r="T21" s="798">
        <f t="shared" si="2"/>
        <v>0</v>
      </c>
      <c r="U21" s="798">
        <f t="shared" si="8"/>
        <v>17962.454999999998</v>
      </c>
      <c r="V21" s="800">
        <v>0.1</v>
      </c>
      <c r="W21" s="800">
        <v>0.2</v>
      </c>
      <c r="X21" s="801">
        <v>0.125</v>
      </c>
      <c r="Y21" s="800">
        <v>0.25</v>
      </c>
      <c r="Z21" s="800">
        <v>0.15</v>
      </c>
      <c r="AA21" s="800">
        <v>0.3</v>
      </c>
      <c r="AB21" s="802"/>
      <c r="AC21" s="802"/>
      <c r="AD21" s="802">
        <v>18</v>
      </c>
      <c r="AE21" s="803"/>
      <c r="AF21" s="802"/>
      <c r="AG21" s="804"/>
      <c r="AH21" s="804">
        <f t="shared" si="3"/>
        <v>0</v>
      </c>
      <c r="AI21" s="803"/>
      <c r="AJ21" s="804">
        <f>G21*25%/18*AD21*50%</f>
        <v>2212.125</v>
      </c>
      <c r="AK21" s="804"/>
      <c r="AL21" s="804">
        <f>G21*25%/J21*AF21*50%</f>
        <v>0</v>
      </c>
      <c r="AM21" s="804"/>
      <c r="AN21" s="803"/>
      <c r="AO21" s="795"/>
      <c r="AP21" s="803"/>
      <c r="AQ21" s="795"/>
      <c r="AR21" s="803"/>
      <c r="AS21" s="795"/>
      <c r="AT21" s="803"/>
      <c r="AU21" s="803"/>
      <c r="AV21" s="805"/>
      <c r="AW21" s="805"/>
      <c r="AX21" s="805">
        <v>2655</v>
      </c>
      <c r="AY21" s="803"/>
      <c r="AZ21" s="803"/>
      <c r="BA21" s="802">
        <v>3539</v>
      </c>
      <c r="BB21" s="802"/>
      <c r="BC21" s="802"/>
      <c r="BD21" s="802"/>
      <c r="BE21" s="802">
        <f t="shared" si="6"/>
        <v>8981.2274999999991</v>
      </c>
      <c r="BF21" s="802">
        <f t="shared" si="7"/>
        <v>107199.62749999999</v>
      </c>
      <c r="BG21" s="772"/>
      <c r="BH21" s="775"/>
      <c r="BI21" s="772"/>
      <c r="BJ21" s="772"/>
      <c r="BK21" s="792"/>
      <c r="BL21" s="774" t="e">
        <f>#REF!</f>
        <v>#REF!</v>
      </c>
    </row>
    <row r="22" spans="1:64" s="773" customFormat="1" ht="15.75" customHeight="1">
      <c r="A22" s="795">
        <v>6</v>
      </c>
      <c r="B22" s="795" t="s">
        <v>426</v>
      </c>
      <c r="C22" s="795" t="s">
        <v>403</v>
      </c>
      <c r="D22" s="796" t="s">
        <v>582</v>
      </c>
      <c r="E22" s="795" t="s">
        <v>645</v>
      </c>
      <c r="F22" s="813" t="s">
        <v>355</v>
      </c>
      <c r="G22" s="796">
        <v>17697</v>
      </c>
      <c r="H22" s="796">
        <v>3.08</v>
      </c>
      <c r="I22" s="798">
        <f t="shared" si="4"/>
        <v>54506.76</v>
      </c>
      <c r="J22" s="795">
        <v>18</v>
      </c>
      <c r="K22" s="795">
        <v>18</v>
      </c>
      <c r="L22" s="799">
        <f t="shared" si="5"/>
        <v>0.1111111111111111</v>
      </c>
      <c r="M22" s="799"/>
      <c r="N22" s="803"/>
      <c r="O22" s="803"/>
      <c r="P22" s="814">
        <v>2</v>
      </c>
      <c r="Q22" s="814"/>
      <c r="R22" s="798">
        <f t="shared" si="9"/>
        <v>0</v>
      </c>
      <c r="S22" s="798">
        <f t="shared" si="1"/>
        <v>0</v>
      </c>
      <c r="T22" s="798">
        <f t="shared" si="2"/>
        <v>6056.3066666666673</v>
      </c>
      <c r="U22" s="798">
        <f t="shared" si="8"/>
        <v>1514.0766666666668</v>
      </c>
      <c r="V22" s="800">
        <v>0.1</v>
      </c>
      <c r="W22" s="800">
        <v>0.2</v>
      </c>
      <c r="X22" s="801">
        <v>0.125</v>
      </c>
      <c r="Y22" s="800">
        <v>0.25</v>
      </c>
      <c r="Z22" s="800">
        <v>0.15</v>
      </c>
      <c r="AA22" s="800">
        <v>0.3</v>
      </c>
      <c r="AB22" s="802"/>
      <c r="AC22" s="802"/>
      <c r="AD22" s="802"/>
      <c r="AE22" s="803"/>
      <c r="AF22" s="815"/>
      <c r="AG22" s="804"/>
      <c r="AH22" s="804">
        <f t="shared" si="3"/>
        <v>0</v>
      </c>
      <c r="AI22" s="803"/>
      <c r="AJ22" s="804">
        <f t="shared" ref="AJ22:AJ35" si="10">G22*20%/18*AD22*50%</f>
        <v>0</v>
      </c>
      <c r="AK22" s="804"/>
      <c r="AL22" s="804">
        <f t="shared" ref="AL22:AL35" si="11">G22*20%/J22*AF22*50%</f>
        <v>0</v>
      </c>
      <c r="AM22" s="804"/>
      <c r="AN22" s="803"/>
      <c r="AO22" s="795"/>
      <c r="AP22" s="803"/>
      <c r="AQ22" s="795"/>
      <c r="AR22" s="803"/>
      <c r="AS22" s="795"/>
      <c r="AT22" s="803"/>
      <c r="AU22" s="803"/>
      <c r="AV22" s="805"/>
      <c r="AW22" s="805"/>
      <c r="AX22" s="805"/>
      <c r="AY22" s="803"/>
      <c r="AZ22" s="803"/>
      <c r="BA22" s="802"/>
      <c r="BB22" s="802"/>
      <c r="BC22" s="802"/>
      <c r="BD22" s="802"/>
      <c r="BE22" s="802">
        <f t="shared" si="6"/>
        <v>757.03833333333341</v>
      </c>
      <c r="BF22" s="802">
        <f t="shared" si="7"/>
        <v>8327.4216666666671</v>
      </c>
      <c r="BG22" s="772"/>
      <c r="BH22" s="775"/>
      <c r="BI22" s="772"/>
      <c r="BJ22" s="772"/>
      <c r="BK22" s="792"/>
      <c r="BL22" s="774" t="e">
        <f>#REF!</f>
        <v>#REF!</v>
      </c>
    </row>
    <row r="23" spans="1:64" s="773" customFormat="1" ht="15.75" customHeight="1">
      <c r="A23" s="795">
        <v>7</v>
      </c>
      <c r="B23" s="795" t="s">
        <v>649</v>
      </c>
      <c r="C23" s="795" t="s">
        <v>403</v>
      </c>
      <c r="D23" s="796" t="s">
        <v>583</v>
      </c>
      <c r="E23" s="795" t="s">
        <v>621</v>
      </c>
      <c r="F23" s="813" t="s">
        <v>300</v>
      </c>
      <c r="G23" s="796">
        <v>17697</v>
      </c>
      <c r="H23" s="796">
        <v>3.85</v>
      </c>
      <c r="I23" s="798">
        <f t="shared" si="4"/>
        <v>68133.45</v>
      </c>
      <c r="J23" s="795">
        <v>18</v>
      </c>
      <c r="K23" s="795">
        <v>18</v>
      </c>
      <c r="L23" s="799">
        <f t="shared" si="5"/>
        <v>0.66666666666666663</v>
      </c>
      <c r="M23" s="799"/>
      <c r="N23" s="803">
        <v>2</v>
      </c>
      <c r="O23" s="803">
        <v>9</v>
      </c>
      <c r="P23" s="803">
        <v>1</v>
      </c>
      <c r="Q23" s="803"/>
      <c r="R23" s="798">
        <f t="shared" si="9"/>
        <v>7570.3833333333332</v>
      </c>
      <c r="S23" s="798">
        <f t="shared" si="1"/>
        <v>34066.724999999999</v>
      </c>
      <c r="T23" s="798">
        <f t="shared" si="2"/>
        <v>3785.1916666666666</v>
      </c>
      <c r="U23" s="798">
        <f t="shared" si="8"/>
        <v>11355.574999999999</v>
      </c>
      <c r="V23" s="800">
        <v>0.1</v>
      </c>
      <c r="W23" s="800">
        <v>0.2</v>
      </c>
      <c r="X23" s="801">
        <v>0.125</v>
      </c>
      <c r="Y23" s="800">
        <v>0.25</v>
      </c>
      <c r="Z23" s="800">
        <v>0.15</v>
      </c>
      <c r="AA23" s="800">
        <v>0.3</v>
      </c>
      <c r="AB23" s="802"/>
      <c r="AC23" s="802"/>
      <c r="AD23" s="815"/>
      <c r="AE23" s="803"/>
      <c r="AF23" s="803"/>
      <c r="AG23" s="804"/>
      <c r="AH23" s="804">
        <f t="shared" si="3"/>
        <v>0</v>
      </c>
      <c r="AI23" s="803"/>
      <c r="AJ23" s="804">
        <f t="shared" si="10"/>
        <v>0</v>
      </c>
      <c r="AK23" s="804"/>
      <c r="AL23" s="804">
        <f t="shared" si="11"/>
        <v>0</v>
      </c>
      <c r="AM23" s="804"/>
      <c r="AN23" s="803"/>
      <c r="AO23" s="795"/>
      <c r="AP23" s="803"/>
      <c r="AQ23" s="795"/>
      <c r="AR23" s="803"/>
      <c r="AS23" s="795"/>
      <c r="AT23" s="803"/>
      <c r="AU23" s="803"/>
      <c r="AV23" s="805">
        <v>2655</v>
      </c>
      <c r="AW23" s="802"/>
      <c r="AX23" s="802"/>
      <c r="AY23" s="803"/>
      <c r="AZ23" s="803">
        <v>1770</v>
      </c>
      <c r="BA23" s="802">
        <v>3539</v>
      </c>
      <c r="BB23" s="802"/>
      <c r="BC23" s="802"/>
      <c r="BD23" s="802"/>
      <c r="BE23" s="802">
        <f t="shared" si="6"/>
        <v>5677.7874999999995</v>
      </c>
      <c r="BF23" s="802">
        <f t="shared" si="7"/>
        <v>70419.662499999991</v>
      </c>
      <c r="BG23" s="772"/>
      <c r="BH23" s="775"/>
      <c r="BI23" s="772"/>
      <c r="BJ23" s="772"/>
      <c r="BK23" s="792"/>
      <c r="BL23" s="774" t="e">
        <f>#REF!</f>
        <v>#REF!</v>
      </c>
    </row>
    <row r="24" spans="1:64" s="773" customFormat="1" ht="15.75" customHeight="1">
      <c r="A24" s="795">
        <v>8</v>
      </c>
      <c r="B24" s="795" t="s">
        <v>652</v>
      </c>
      <c r="C24" s="795" t="s">
        <v>403</v>
      </c>
      <c r="D24" s="796" t="s">
        <v>581</v>
      </c>
      <c r="E24" s="795" t="s">
        <v>622</v>
      </c>
      <c r="F24" s="795" t="s">
        <v>374</v>
      </c>
      <c r="G24" s="796">
        <v>17697</v>
      </c>
      <c r="H24" s="796">
        <v>4.16</v>
      </c>
      <c r="I24" s="798">
        <f t="shared" ref="I24" si="12">G24*H24</f>
        <v>73619.520000000004</v>
      </c>
      <c r="J24" s="795">
        <v>18</v>
      </c>
      <c r="K24" s="795">
        <v>18</v>
      </c>
      <c r="L24" s="799">
        <f t="shared" si="5"/>
        <v>0.55555555555555558</v>
      </c>
      <c r="M24" s="799"/>
      <c r="N24" s="803">
        <v>2</v>
      </c>
      <c r="O24" s="803">
        <v>5</v>
      </c>
      <c r="P24" s="803">
        <v>3</v>
      </c>
      <c r="Q24" s="803"/>
      <c r="R24" s="798">
        <f t="shared" ref="R24" si="13">I24/J24*N24</f>
        <v>8179.9466666666667</v>
      </c>
      <c r="S24" s="798">
        <f t="shared" ref="S24" si="14">I24/J24*O24</f>
        <v>20449.866666666669</v>
      </c>
      <c r="T24" s="798">
        <f t="shared" ref="T24" si="15">I24/J24*P24</f>
        <v>12269.92</v>
      </c>
      <c r="U24" s="798">
        <f t="shared" ref="U24" si="16">(R24+S24+T24)*25%</f>
        <v>10224.933333333334</v>
      </c>
      <c r="V24" s="800">
        <v>0.1</v>
      </c>
      <c r="W24" s="800">
        <v>0.2</v>
      </c>
      <c r="X24" s="801">
        <v>0.125</v>
      </c>
      <c r="Y24" s="800">
        <v>0.25</v>
      </c>
      <c r="Z24" s="800">
        <v>0.15</v>
      </c>
      <c r="AA24" s="800">
        <v>0.3</v>
      </c>
      <c r="AB24" s="803"/>
      <c r="AC24" s="802"/>
      <c r="AD24" s="802"/>
      <c r="AE24" s="803"/>
      <c r="AF24" s="803"/>
      <c r="AG24" s="804"/>
      <c r="AH24" s="804">
        <f t="shared" ref="AH24" si="17">G24*20%/18*AB24*50%</f>
        <v>0</v>
      </c>
      <c r="AI24" s="803"/>
      <c r="AJ24" s="804">
        <f t="shared" ref="AJ24" si="18">G24*20%/18*AD24*50%</f>
        <v>0</v>
      </c>
      <c r="AK24" s="804"/>
      <c r="AL24" s="804">
        <f t="shared" ref="AL24" si="19">G24*20%/J24*AF24*50%</f>
        <v>0</v>
      </c>
      <c r="AM24" s="795"/>
      <c r="AN24" s="803"/>
      <c r="AO24" s="795"/>
      <c r="AP24" s="803"/>
      <c r="AQ24" s="795"/>
      <c r="AR24" s="803"/>
      <c r="AS24" s="795"/>
      <c r="AT24" s="803"/>
      <c r="AU24" s="803"/>
      <c r="AV24" s="802"/>
      <c r="AW24" s="803"/>
      <c r="AX24" s="803"/>
      <c r="AY24" s="803"/>
      <c r="AZ24" s="803"/>
      <c r="BA24" s="803"/>
      <c r="BB24" s="802"/>
      <c r="BC24" s="802">
        <v>1</v>
      </c>
      <c r="BD24" s="802">
        <f>((17697*40%)/18)*BC24</f>
        <v>393.26666666666665</v>
      </c>
      <c r="BE24" s="802">
        <f t="shared" ref="BE24" si="20">(R24+S24+T24+U24)*0.1</f>
        <v>5112.4666666666672</v>
      </c>
      <c r="BF24" s="802">
        <f t="shared" si="7"/>
        <v>56630.400000000009</v>
      </c>
      <c r="BG24" s="772"/>
      <c r="BH24" s="775"/>
      <c r="BI24" s="772"/>
      <c r="BJ24" s="772"/>
      <c r="BK24" s="792"/>
      <c r="BL24" s="774" t="e">
        <f>#REF!</f>
        <v>#REF!</v>
      </c>
    </row>
    <row r="25" spans="1:64" s="773" customFormat="1" ht="15.75" customHeight="1">
      <c r="A25" s="795">
        <v>8</v>
      </c>
      <c r="B25" s="795" t="s">
        <v>372</v>
      </c>
      <c r="C25" s="795" t="s">
        <v>403</v>
      </c>
      <c r="D25" s="796" t="s">
        <v>581</v>
      </c>
      <c r="E25" s="795" t="s">
        <v>622</v>
      </c>
      <c r="F25" s="795" t="s">
        <v>374</v>
      </c>
      <c r="G25" s="796">
        <v>17697</v>
      </c>
      <c r="H25" s="796">
        <v>4.16</v>
      </c>
      <c r="I25" s="798">
        <f t="shared" si="4"/>
        <v>73619.520000000004</v>
      </c>
      <c r="J25" s="795">
        <v>18</v>
      </c>
      <c r="K25" s="795">
        <v>18</v>
      </c>
      <c r="L25" s="799">
        <f t="shared" si="5"/>
        <v>0.44444444444444442</v>
      </c>
      <c r="M25" s="799"/>
      <c r="N25" s="803"/>
      <c r="O25" s="803">
        <v>3</v>
      </c>
      <c r="P25" s="803">
        <v>5</v>
      </c>
      <c r="Q25" s="803"/>
      <c r="R25" s="798">
        <f t="shared" si="9"/>
        <v>0</v>
      </c>
      <c r="S25" s="798">
        <f t="shared" si="1"/>
        <v>12269.92</v>
      </c>
      <c r="T25" s="798">
        <f t="shared" si="2"/>
        <v>20449.866666666669</v>
      </c>
      <c r="U25" s="798">
        <f t="shared" si="8"/>
        <v>8179.9466666666667</v>
      </c>
      <c r="V25" s="800">
        <v>0.1</v>
      </c>
      <c r="W25" s="800">
        <v>0.2</v>
      </c>
      <c r="X25" s="801">
        <v>0.125</v>
      </c>
      <c r="Y25" s="800">
        <v>0.25</v>
      </c>
      <c r="Z25" s="800">
        <v>0.15</v>
      </c>
      <c r="AA25" s="800">
        <v>0.3</v>
      </c>
      <c r="AB25" s="803"/>
      <c r="AC25" s="802"/>
      <c r="AD25" s="802"/>
      <c r="AE25" s="803"/>
      <c r="AF25" s="803"/>
      <c r="AG25" s="804"/>
      <c r="AH25" s="804">
        <f t="shared" si="3"/>
        <v>0</v>
      </c>
      <c r="AI25" s="803"/>
      <c r="AJ25" s="804">
        <f t="shared" si="10"/>
        <v>0</v>
      </c>
      <c r="AK25" s="804"/>
      <c r="AL25" s="804">
        <f t="shared" si="11"/>
        <v>0</v>
      </c>
      <c r="AM25" s="795"/>
      <c r="AN25" s="803"/>
      <c r="AO25" s="795"/>
      <c r="AP25" s="803"/>
      <c r="AQ25" s="795"/>
      <c r="AR25" s="803"/>
      <c r="AS25" s="795"/>
      <c r="AT25" s="803"/>
      <c r="AU25" s="803"/>
      <c r="AV25" s="802"/>
      <c r="AW25" s="803"/>
      <c r="AX25" s="803"/>
      <c r="AY25" s="803"/>
      <c r="AZ25" s="803"/>
      <c r="BA25" s="803"/>
      <c r="BB25" s="802"/>
      <c r="BC25" s="802"/>
      <c r="BD25" s="802"/>
      <c r="BE25" s="802">
        <f t="shared" si="6"/>
        <v>4089.9733333333338</v>
      </c>
      <c r="BF25" s="802">
        <f t="shared" si="7"/>
        <v>44989.706666666672</v>
      </c>
      <c r="BG25" s="772"/>
      <c r="BH25" s="775"/>
      <c r="BI25" s="772"/>
      <c r="BJ25" s="772"/>
      <c r="BK25" s="792"/>
      <c r="BL25" s="774" t="e">
        <f>#REF!</f>
        <v>#REF!</v>
      </c>
    </row>
    <row r="26" spans="1:64" s="773" customFormat="1" ht="15.75" customHeight="1">
      <c r="A26" s="795">
        <v>9</v>
      </c>
      <c r="B26" s="795" t="s">
        <v>575</v>
      </c>
      <c r="C26" s="795" t="s">
        <v>403</v>
      </c>
      <c r="D26" s="796" t="s">
        <v>581</v>
      </c>
      <c r="E26" s="795" t="s">
        <v>623</v>
      </c>
      <c r="F26" s="795" t="s">
        <v>374</v>
      </c>
      <c r="G26" s="796">
        <v>17697</v>
      </c>
      <c r="H26" s="796">
        <v>4.3</v>
      </c>
      <c r="I26" s="798">
        <f t="shared" si="4"/>
        <v>76097.099999999991</v>
      </c>
      <c r="J26" s="795">
        <v>18</v>
      </c>
      <c r="K26" s="795">
        <v>18</v>
      </c>
      <c r="L26" s="799">
        <f t="shared" si="5"/>
        <v>0.88888888888888884</v>
      </c>
      <c r="M26" s="803">
        <v>1</v>
      </c>
      <c r="N26" s="803">
        <v>4</v>
      </c>
      <c r="O26" s="803">
        <v>12</v>
      </c>
      <c r="P26" s="803"/>
      <c r="Q26" s="798">
        <f>G26/H26*M26</f>
        <v>4115.5813953488378</v>
      </c>
      <c r="R26" s="798">
        <f t="shared" si="9"/>
        <v>16910.466666666664</v>
      </c>
      <c r="S26" s="798">
        <f t="shared" si="1"/>
        <v>50731.399999999994</v>
      </c>
      <c r="T26" s="798">
        <f t="shared" si="2"/>
        <v>0</v>
      </c>
      <c r="U26" s="798">
        <f t="shared" si="8"/>
        <v>16910.466666666664</v>
      </c>
      <c r="V26" s="800"/>
      <c r="W26" s="800"/>
      <c r="X26" s="801"/>
      <c r="Y26" s="800"/>
      <c r="Z26" s="800"/>
      <c r="AA26" s="800"/>
      <c r="AB26" s="803"/>
      <c r="AC26" s="802">
        <v>4</v>
      </c>
      <c r="AD26" s="802">
        <v>6</v>
      </c>
      <c r="AE26" s="803"/>
      <c r="AF26" s="803">
        <v>5</v>
      </c>
      <c r="AG26" s="804"/>
      <c r="AH26" s="804">
        <f t="shared" si="3"/>
        <v>0</v>
      </c>
      <c r="AI26" s="802">
        <v>3539</v>
      </c>
      <c r="AJ26" s="804">
        <f t="shared" si="10"/>
        <v>589.9</v>
      </c>
      <c r="AK26" s="804"/>
      <c r="AL26" s="804">
        <f t="shared" si="11"/>
        <v>491.58333333333331</v>
      </c>
      <c r="AM26" s="795"/>
      <c r="AN26" s="803"/>
      <c r="AO26" s="795"/>
      <c r="AP26" s="803"/>
      <c r="AQ26" s="795"/>
      <c r="AR26" s="803"/>
      <c r="AS26" s="795"/>
      <c r="AT26" s="803"/>
      <c r="AU26" s="803"/>
      <c r="AV26" s="802"/>
      <c r="AW26" s="803"/>
      <c r="AX26" s="803"/>
      <c r="AY26" s="803"/>
      <c r="AZ26" s="803"/>
      <c r="BA26" s="803"/>
      <c r="BB26" s="802"/>
      <c r="BC26" s="802">
        <v>2</v>
      </c>
      <c r="BD26" s="802">
        <f>((17697*40%)/18)*BC26</f>
        <v>786.5333333333333</v>
      </c>
      <c r="BE26" s="802">
        <f t="shared" si="6"/>
        <v>8455.2333333333318</v>
      </c>
      <c r="BF26" s="802">
        <f t="shared" si="7"/>
        <v>98414.583333333314</v>
      </c>
      <c r="BG26" s="772"/>
      <c r="BH26" s="775"/>
      <c r="BI26" s="772"/>
      <c r="BJ26" s="772"/>
      <c r="BK26" s="792"/>
      <c r="BL26" s="774"/>
    </row>
    <row r="27" spans="1:64" s="773" customFormat="1" ht="15.75" customHeight="1">
      <c r="A27" s="795">
        <v>10</v>
      </c>
      <c r="B27" s="795" t="s">
        <v>644</v>
      </c>
      <c r="C27" s="795" t="s">
        <v>403</v>
      </c>
      <c r="D27" s="796" t="s">
        <v>585</v>
      </c>
      <c r="E27" s="795" t="s">
        <v>624</v>
      </c>
      <c r="F27" s="795" t="s">
        <v>401</v>
      </c>
      <c r="G27" s="796">
        <v>17697</v>
      </c>
      <c r="H27" s="796">
        <v>4.7</v>
      </c>
      <c r="I27" s="798">
        <f t="shared" si="4"/>
        <v>83175.900000000009</v>
      </c>
      <c r="J27" s="795">
        <v>18</v>
      </c>
      <c r="K27" s="795">
        <v>18</v>
      </c>
      <c r="L27" s="799">
        <f t="shared" si="5"/>
        <v>0.5</v>
      </c>
      <c r="M27" s="799"/>
      <c r="N27" s="803">
        <v>2</v>
      </c>
      <c r="O27" s="803">
        <v>5</v>
      </c>
      <c r="P27" s="803">
        <v>2</v>
      </c>
      <c r="Q27" s="803"/>
      <c r="R27" s="798">
        <f t="shared" si="9"/>
        <v>9241.7666666666682</v>
      </c>
      <c r="S27" s="798">
        <f t="shared" si="1"/>
        <v>23104.416666666672</v>
      </c>
      <c r="T27" s="798">
        <f t="shared" si="2"/>
        <v>9241.7666666666682</v>
      </c>
      <c r="U27" s="798">
        <f t="shared" si="8"/>
        <v>10396.987500000003</v>
      </c>
      <c r="V27" s="800">
        <v>0.1</v>
      </c>
      <c r="W27" s="800">
        <v>0.2</v>
      </c>
      <c r="X27" s="801">
        <v>0.125</v>
      </c>
      <c r="Y27" s="800">
        <v>0.25</v>
      </c>
      <c r="Z27" s="800">
        <v>0.15</v>
      </c>
      <c r="AA27" s="800">
        <v>0.3</v>
      </c>
      <c r="AB27" s="803">
        <v>2</v>
      </c>
      <c r="AC27" s="803"/>
      <c r="AD27" s="802"/>
      <c r="AE27" s="803"/>
      <c r="AF27" s="803"/>
      <c r="AG27" s="804"/>
      <c r="AH27" s="804">
        <f>G27*25%/18*AB27*50%</f>
        <v>245.79166666666666</v>
      </c>
      <c r="AI27" s="803"/>
      <c r="AJ27" s="804">
        <f t="shared" si="10"/>
        <v>0</v>
      </c>
      <c r="AK27" s="804"/>
      <c r="AL27" s="804">
        <f t="shared" si="11"/>
        <v>0</v>
      </c>
      <c r="AM27" s="795"/>
      <c r="AN27" s="803">
        <v>0</v>
      </c>
      <c r="AO27" s="804">
        <f>G27*Y27/K27*AN27</f>
        <v>0</v>
      </c>
      <c r="AP27" s="803"/>
      <c r="AQ27" s="795"/>
      <c r="AR27" s="803"/>
      <c r="AS27" s="795"/>
      <c r="AT27" s="802"/>
      <c r="AU27" s="805"/>
      <c r="AV27" s="802"/>
      <c r="AW27" s="803"/>
      <c r="AX27" s="803"/>
      <c r="AY27" s="803"/>
      <c r="AZ27" s="803"/>
      <c r="BA27" s="803"/>
      <c r="BB27" s="802"/>
      <c r="BC27" s="802"/>
      <c r="BD27" s="802"/>
      <c r="BE27" s="802">
        <f t="shared" si="6"/>
        <v>5198.4937500000015</v>
      </c>
      <c r="BF27" s="802">
        <f t="shared" si="7"/>
        <v>57429.22291666668</v>
      </c>
      <c r="BG27" s="772"/>
      <c r="BH27" s="775"/>
      <c r="BI27" s="772"/>
      <c r="BJ27" s="772"/>
      <c r="BK27" s="792"/>
      <c r="BL27" s="774" t="e">
        <f>#REF!</f>
        <v>#REF!</v>
      </c>
    </row>
    <row r="28" spans="1:64" s="773" customFormat="1" ht="15.75" customHeight="1">
      <c r="A28" s="795">
        <v>11</v>
      </c>
      <c r="B28" s="795" t="s">
        <v>649</v>
      </c>
      <c r="C28" s="795" t="s">
        <v>647</v>
      </c>
      <c r="D28" s="796" t="s">
        <v>584</v>
      </c>
      <c r="E28" s="795" t="s">
        <v>625</v>
      </c>
      <c r="F28" s="795" t="s">
        <v>355</v>
      </c>
      <c r="G28" s="796">
        <v>17697</v>
      </c>
      <c r="H28" s="856">
        <v>2.4300000000000002</v>
      </c>
      <c r="I28" s="798">
        <f t="shared" si="4"/>
        <v>43003.710000000006</v>
      </c>
      <c r="J28" s="795">
        <v>18</v>
      </c>
      <c r="K28" s="795">
        <v>18</v>
      </c>
      <c r="L28" s="799">
        <f t="shared" si="5"/>
        <v>0.66666666666666663</v>
      </c>
      <c r="M28" s="799"/>
      <c r="N28" s="803"/>
      <c r="O28" s="803">
        <v>9</v>
      </c>
      <c r="P28" s="803">
        <v>3</v>
      </c>
      <c r="Q28" s="803"/>
      <c r="R28" s="798">
        <f t="shared" si="9"/>
        <v>0</v>
      </c>
      <c r="S28" s="798">
        <f t="shared" si="1"/>
        <v>21501.855000000003</v>
      </c>
      <c r="T28" s="798">
        <f t="shared" si="2"/>
        <v>7167.2850000000008</v>
      </c>
      <c r="U28" s="798">
        <f t="shared" si="8"/>
        <v>7167.2850000000008</v>
      </c>
      <c r="V28" s="800">
        <v>0.1</v>
      </c>
      <c r="W28" s="800">
        <v>0.2</v>
      </c>
      <c r="X28" s="801">
        <v>0.125</v>
      </c>
      <c r="Y28" s="800">
        <v>0.25</v>
      </c>
      <c r="Z28" s="800">
        <v>0.15</v>
      </c>
      <c r="AA28" s="800">
        <v>0.3</v>
      </c>
      <c r="AB28" s="802"/>
      <c r="AC28" s="802"/>
      <c r="AD28" s="802"/>
      <c r="AE28" s="803"/>
      <c r="AF28" s="803"/>
      <c r="AG28" s="804"/>
      <c r="AH28" s="804">
        <f t="shared" ref="AH28:AH35" si="21">G28*20%/18*AB28*50%</f>
        <v>0</v>
      </c>
      <c r="AI28" s="802"/>
      <c r="AJ28" s="804">
        <f t="shared" si="10"/>
        <v>0</v>
      </c>
      <c r="AK28" s="804"/>
      <c r="AL28" s="804">
        <f t="shared" si="11"/>
        <v>0</v>
      </c>
      <c r="AM28" s="795"/>
      <c r="AN28" s="803"/>
      <c r="AO28" s="795"/>
      <c r="AP28" s="803"/>
      <c r="AQ28" s="795"/>
      <c r="AR28" s="803"/>
      <c r="AS28" s="795"/>
      <c r="AT28" s="802"/>
      <c r="AU28" s="805"/>
      <c r="AV28" s="805">
        <v>2655</v>
      </c>
      <c r="AW28" s="803"/>
      <c r="AX28" s="803"/>
      <c r="AY28" s="803"/>
      <c r="AZ28" s="803">
        <v>1770</v>
      </c>
      <c r="BA28" s="802">
        <v>3539</v>
      </c>
      <c r="BB28" s="802"/>
      <c r="BC28" s="802"/>
      <c r="BD28" s="802"/>
      <c r="BE28" s="802">
        <f t="shared" si="6"/>
        <v>3583.6425000000004</v>
      </c>
      <c r="BF28" s="802">
        <f t="shared" si="7"/>
        <v>47384.067500000005</v>
      </c>
      <c r="BG28" s="772"/>
      <c r="BH28" s="775"/>
      <c r="BI28" s="772"/>
      <c r="BJ28" s="772"/>
      <c r="BK28" s="792"/>
      <c r="BL28" s="774" t="e">
        <f>#REF!</f>
        <v>#REF!</v>
      </c>
    </row>
    <row r="29" spans="1:64" s="773" customFormat="1" ht="15.75" customHeight="1">
      <c r="A29" s="795">
        <v>12</v>
      </c>
      <c r="B29" s="795" t="s">
        <v>450</v>
      </c>
      <c r="C29" s="795" t="s">
        <v>403</v>
      </c>
      <c r="D29" s="796" t="s">
        <v>582</v>
      </c>
      <c r="E29" s="795" t="s">
        <v>626</v>
      </c>
      <c r="F29" s="795" t="s">
        <v>355</v>
      </c>
      <c r="G29" s="796">
        <v>17697</v>
      </c>
      <c r="H29" s="856">
        <v>3.2</v>
      </c>
      <c r="I29" s="798">
        <f t="shared" si="4"/>
        <v>56630.400000000001</v>
      </c>
      <c r="J29" s="795">
        <v>18</v>
      </c>
      <c r="K29" s="795">
        <v>18</v>
      </c>
      <c r="L29" s="799">
        <f t="shared" si="5"/>
        <v>0.77777777777777768</v>
      </c>
      <c r="M29" s="799"/>
      <c r="N29" s="803"/>
      <c r="O29" s="803">
        <v>10</v>
      </c>
      <c r="P29" s="803">
        <v>4</v>
      </c>
      <c r="Q29" s="803"/>
      <c r="R29" s="798">
        <f t="shared" si="9"/>
        <v>0</v>
      </c>
      <c r="S29" s="798">
        <f t="shared" si="1"/>
        <v>31461.333333333332</v>
      </c>
      <c r="T29" s="798">
        <f t="shared" si="2"/>
        <v>12584.533333333333</v>
      </c>
      <c r="U29" s="798">
        <f t="shared" si="8"/>
        <v>11011.466666666667</v>
      </c>
      <c r="V29" s="800">
        <v>0.1</v>
      </c>
      <c r="W29" s="800">
        <v>0.2</v>
      </c>
      <c r="X29" s="801">
        <v>0.125</v>
      </c>
      <c r="Y29" s="800">
        <v>0.25</v>
      </c>
      <c r="Z29" s="800">
        <v>0.15</v>
      </c>
      <c r="AA29" s="800">
        <v>0.3</v>
      </c>
      <c r="AB29" s="802"/>
      <c r="AC29" s="802"/>
      <c r="AD29" s="802"/>
      <c r="AE29" s="803"/>
      <c r="AF29" s="803"/>
      <c r="AG29" s="804"/>
      <c r="AH29" s="804">
        <f t="shared" si="21"/>
        <v>0</v>
      </c>
      <c r="AI29" s="802"/>
      <c r="AJ29" s="804">
        <f t="shared" si="10"/>
        <v>0</v>
      </c>
      <c r="AK29" s="804"/>
      <c r="AL29" s="804">
        <f t="shared" si="11"/>
        <v>0</v>
      </c>
      <c r="AM29" s="795"/>
      <c r="AN29" s="803"/>
      <c r="AO29" s="795"/>
      <c r="AP29" s="803"/>
      <c r="AQ29" s="795"/>
      <c r="AR29" s="803"/>
      <c r="AS29" s="795"/>
      <c r="AT29" s="802"/>
      <c r="AU29" s="805"/>
      <c r="AV29" s="805"/>
      <c r="AW29" s="803"/>
      <c r="AX29" s="803"/>
      <c r="AY29" s="803"/>
      <c r="AZ29" s="803"/>
      <c r="BA29" s="802"/>
      <c r="BB29" s="802"/>
      <c r="BC29" s="802"/>
      <c r="BD29" s="802"/>
      <c r="BE29" s="802">
        <f t="shared" si="6"/>
        <v>5505.7333333333336</v>
      </c>
      <c r="BF29" s="802">
        <f t="shared" si="7"/>
        <v>60563.066666666666</v>
      </c>
      <c r="BG29" s="772"/>
      <c r="BH29" s="775"/>
      <c r="BI29" s="772"/>
      <c r="BJ29" s="772"/>
      <c r="BK29" s="792"/>
      <c r="BL29" s="774" t="e">
        <f>#REF!</f>
        <v>#REF!</v>
      </c>
    </row>
    <row r="30" spans="1:64" s="773" customFormat="1" ht="15.75" customHeight="1">
      <c r="A30" s="795">
        <v>13</v>
      </c>
      <c r="B30" s="795" t="s">
        <v>393</v>
      </c>
      <c r="C30" s="795" t="s">
        <v>403</v>
      </c>
      <c r="D30" s="796" t="s">
        <v>585</v>
      </c>
      <c r="E30" s="795" t="s">
        <v>605</v>
      </c>
      <c r="F30" s="795" t="s">
        <v>401</v>
      </c>
      <c r="G30" s="796">
        <v>17697</v>
      </c>
      <c r="H30" s="796">
        <v>4.7</v>
      </c>
      <c r="I30" s="798">
        <f t="shared" si="4"/>
        <v>83175.900000000009</v>
      </c>
      <c r="J30" s="795">
        <v>18</v>
      </c>
      <c r="K30" s="795">
        <v>18</v>
      </c>
      <c r="L30" s="799">
        <f t="shared" si="5"/>
        <v>1.0555555555555556</v>
      </c>
      <c r="M30" s="799"/>
      <c r="N30" s="803">
        <v>19</v>
      </c>
      <c r="O30" s="803"/>
      <c r="P30" s="803"/>
      <c r="Q30" s="803"/>
      <c r="R30" s="798">
        <f t="shared" si="9"/>
        <v>87796.783333333355</v>
      </c>
      <c r="S30" s="798">
        <f t="shared" si="1"/>
        <v>0</v>
      </c>
      <c r="T30" s="798">
        <f t="shared" si="2"/>
        <v>0</v>
      </c>
      <c r="U30" s="798">
        <f t="shared" si="8"/>
        <v>21949.195833333339</v>
      </c>
      <c r="V30" s="800">
        <v>0.1</v>
      </c>
      <c r="W30" s="800">
        <v>0.2</v>
      </c>
      <c r="X30" s="801">
        <v>0.125</v>
      </c>
      <c r="Y30" s="800">
        <v>0.25</v>
      </c>
      <c r="Z30" s="800">
        <v>0.15</v>
      </c>
      <c r="AA30" s="800">
        <v>0.3</v>
      </c>
      <c r="AB30" s="802">
        <v>19</v>
      </c>
      <c r="AC30" s="802"/>
      <c r="AD30" s="802"/>
      <c r="AE30" s="803"/>
      <c r="AF30" s="803"/>
      <c r="AG30" s="804"/>
      <c r="AH30" s="804">
        <f>G30*25%/18*AB30*50%</f>
        <v>2335.020833333333</v>
      </c>
      <c r="AI30" s="804">
        <f>G30*20%/18*AC30*100%</f>
        <v>0</v>
      </c>
      <c r="AJ30" s="804">
        <f t="shared" si="10"/>
        <v>0</v>
      </c>
      <c r="AK30" s="804"/>
      <c r="AL30" s="804">
        <f t="shared" si="11"/>
        <v>0</v>
      </c>
      <c r="AM30" s="795"/>
      <c r="AN30" s="803"/>
      <c r="AO30" s="795"/>
      <c r="AP30" s="803"/>
      <c r="AQ30" s="795"/>
      <c r="AR30" s="803"/>
      <c r="AS30" s="795"/>
      <c r="AT30" s="802">
        <v>2212</v>
      </c>
      <c r="AU30" s="802"/>
      <c r="AV30" s="802"/>
      <c r="AW30" s="803"/>
      <c r="AX30" s="803"/>
      <c r="AY30" s="803"/>
      <c r="AZ30" s="803"/>
      <c r="BA30" s="803"/>
      <c r="BB30" s="802"/>
      <c r="BC30" s="802">
        <v>5</v>
      </c>
      <c r="BD30" s="802">
        <f>((17697*40%)/18)*BC30</f>
        <v>1966.3333333333333</v>
      </c>
      <c r="BE30" s="802">
        <f t="shared" si="6"/>
        <v>10974.597916666669</v>
      </c>
      <c r="BF30" s="802">
        <f t="shared" si="7"/>
        <v>127233.93125000001</v>
      </c>
      <c r="BG30" s="772"/>
      <c r="BH30" s="775"/>
      <c r="BI30" s="772"/>
      <c r="BJ30" s="772"/>
      <c r="BK30" s="792"/>
      <c r="BL30" s="774" t="e">
        <f>#REF!</f>
        <v>#REF!</v>
      </c>
    </row>
    <row r="31" spans="1:64" s="773" customFormat="1" ht="15.75" customHeight="1">
      <c r="A31" s="795">
        <v>14</v>
      </c>
      <c r="B31" s="795" t="s">
        <v>640</v>
      </c>
      <c r="C31" s="795" t="s">
        <v>403</v>
      </c>
      <c r="D31" s="857" t="s">
        <v>582</v>
      </c>
      <c r="E31" s="858" t="s">
        <v>633</v>
      </c>
      <c r="F31" s="813" t="s">
        <v>355</v>
      </c>
      <c r="G31" s="796">
        <v>17697</v>
      </c>
      <c r="H31" s="796">
        <v>3.65</v>
      </c>
      <c r="I31" s="798">
        <f t="shared" si="4"/>
        <v>64594.049999999996</v>
      </c>
      <c r="J31" s="795">
        <v>18</v>
      </c>
      <c r="K31" s="795">
        <v>18</v>
      </c>
      <c r="L31" s="799">
        <f t="shared" si="5"/>
        <v>0.5</v>
      </c>
      <c r="M31" s="799"/>
      <c r="N31" s="803">
        <v>9</v>
      </c>
      <c r="O31" s="803"/>
      <c r="P31" s="803"/>
      <c r="Q31" s="803"/>
      <c r="R31" s="798">
        <f t="shared" si="9"/>
        <v>32297.024999999998</v>
      </c>
      <c r="S31" s="798">
        <f t="shared" si="1"/>
        <v>0</v>
      </c>
      <c r="T31" s="798">
        <f t="shared" si="2"/>
        <v>0</v>
      </c>
      <c r="U31" s="798">
        <f t="shared" si="8"/>
        <v>8074.2562499999995</v>
      </c>
      <c r="V31" s="800">
        <v>0.1</v>
      </c>
      <c r="W31" s="800">
        <v>0.2</v>
      </c>
      <c r="X31" s="801">
        <v>0.125</v>
      </c>
      <c r="Y31" s="800">
        <v>0.25</v>
      </c>
      <c r="Z31" s="800">
        <v>0.15</v>
      </c>
      <c r="AA31" s="800">
        <v>0.3</v>
      </c>
      <c r="AB31" s="803"/>
      <c r="AC31" s="802">
        <v>9</v>
      </c>
      <c r="AD31" s="802"/>
      <c r="AE31" s="803"/>
      <c r="AF31" s="803"/>
      <c r="AG31" s="804"/>
      <c r="AH31" s="804">
        <f t="shared" si="21"/>
        <v>0</v>
      </c>
      <c r="AI31" s="804">
        <f>G31*20%/18*AC31*100%</f>
        <v>1769.6999999999998</v>
      </c>
      <c r="AJ31" s="804">
        <f t="shared" si="10"/>
        <v>0</v>
      </c>
      <c r="AK31" s="804"/>
      <c r="AL31" s="804">
        <f t="shared" si="11"/>
        <v>0</v>
      </c>
      <c r="AM31" s="795"/>
      <c r="AN31" s="803"/>
      <c r="AO31" s="795"/>
      <c r="AP31" s="803"/>
      <c r="AQ31" s="795"/>
      <c r="AR31" s="803"/>
      <c r="AS31" s="795"/>
      <c r="AT31" s="804"/>
      <c r="AU31" s="803">
        <v>4424</v>
      </c>
      <c r="AV31" s="802"/>
      <c r="AW31" s="803"/>
      <c r="AX31" s="803"/>
      <c r="AY31" s="803"/>
      <c r="AZ31" s="803"/>
      <c r="BA31" s="803"/>
      <c r="BB31" s="802"/>
      <c r="BC31" s="802"/>
      <c r="BD31" s="802"/>
      <c r="BE31" s="802">
        <f t="shared" si="6"/>
        <v>4037.1281250000002</v>
      </c>
      <c r="BF31" s="802">
        <f t="shared" si="7"/>
        <v>50602.109375</v>
      </c>
      <c r="BG31" s="772"/>
      <c r="BH31" s="775"/>
      <c r="BI31" s="772"/>
      <c r="BJ31" s="772"/>
      <c r="BK31" s="792"/>
      <c r="BL31" s="774" t="e">
        <f>#REF!</f>
        <v>#REF!</v>
      </c>
    </row>
    <row r="32" spans="1:64" s="773" customFormat="1" ht="15.75" customHeight="1">
      <c r="A32" s="795">
        <v>15</v>
      </c>
      <c r="B32" s="795" t="s">
        <v>368</v>
      </c>
      <c r="C32" s="795" t="s">
        <v>403</v>
      </c>
      <c r="D32" s="796" t="s">
        <v>585</v>
      </c>
      <c r="E32" s="795" t="s">
        <v>627</v>
      </c>
      <c r="F32" s="795" t="s">
        <v>401</v>
      </c>
      <c r="G32" s="796">
        <v>17697</v>
      </c>
      <c r="H32" s="796">
        <v>4.7</v>
      </c>
      <c r="I32" s="798">
        <f t="shared" si="4"/>
        <v>83175.900000000009</v>
      </c>
      <c r="J32" s="795">
        <v>18</v>
      </c>
      <c r="K32" s="795">
        <v>18</v>
      </c>
      <c r="L32" s="799">
        <f t="shared" si="5"/>
        <v>1.3333333333333333</v>
      </c>
      <c r="M32" s="799"/>
      <c r="N32" s="803">
        <v>24</v>
      </c>
      <c r="O32" s="803"/>
      <c r="P32" s="803"/>
      <c r="Q32" s="803"/>
      <c r="R32" s="798">
        <f t="shared" si="9"/>
        <v>110901.20000000001</v>
      </c>
      <c r="S32" s="798">
        <f t="shared" si="1"/>
        <v>0</v>
      </c>
      <c r="T32" s="798">
        <f t="shared" si="2"/>
        <v>0</v>
      </c>
      <c r="U32" s="798">
        <f t="shared" si="8"/>
        <v>27725.300000000003</v>
      </c>
      <c r="V32" s="800">
        <v>0.1</v>
      </c>
      <c r="W32" s="800">
        <v>0.2</v>
      </c>
      <c r="X32" s="801">
        <v>0.125</v>
      </c>
      <c r="Y32" s="800">
        <v>0.25</v>
      </c>
      <c r="Z32" s="800">
        <v>0.15</v>
      </c>
      <c r="AA32" s="800">
        <v>0.3</v>
      </c>
      <c r="AB32" s="803">
        <v>19</v>
      </c>
      <c r="AC32" s="802">
        <v>5</v>
      </c>
      <c r="AD32" s="802"/>
      <c r="AE32" s="803"/>
      <c r="AF32" s="803"/>
      <c r="AG32" s="804"/>
      <c r="AH32" s="804">
        <f t="shared" si="21"/>
        <v>1868.0166666666667</v>
      </c>
      <c r="AI32" s="804">
        <f>G32*20%/18*AC32*100%</f>
        <v>983.16666666666663</v>
      </c>
      <c r="AJ32" s="804">
        <f t="shared" si="10"/>
        <v>0</v>
      </c>
      <c r="AK32" s="804"/>
      <c r="AL32" s="804">
        <f t="shared" si="11"/>
        <v>0</v>
      </c>
      <c r="AM32" s="804"/>
      <c r="AN32" s="803"/>
      <c r="AO32" s="795"/>
      <c r="AP32" s="803"/>
      <c r="AQ32" s="804"/>
      <c r="AR32" s="803"/>
      <c r="AS32" s="804"/>
      <c r="AT32" s="804">
        <v>2212</v>
      </c>
      <c r="AU32" s="803"/>
      <c r="AV32" s="802"/>
      <c r="AW32" s="805"/>
      <c r="AX32" s="805"/>
      <c r="AY32" s="803"/>
      <c r="AZ32" s="803"/>
      <c r="BA32" s="803"/>
      <c r="BB32" s="802"/>
      <c r="BC32" s="802"/>
      <c r="BD32" s="802"/>
      <c r="BE32" s="802">
        <f t="shared" si="6"/>
        <v>13862.650000000001</v>
      </c>
      <c r="BF32" s="802">
        <f t="shared" si="7"/>
        <v>157552.33333333331</v>
      </c>
      <c r="BG32" s="772"/>
      <c r="BH32" s="775"/>
      <c r="BI32" s="772"/>
      <c r="BJ32" s="772"/>
      <c r="BK32" s="792"/>
      <c r="BL32" s="774" t="e">
        <f>#REF!</f>
        <v>#REF!</v>
      </c>
    </row>
    <row r="33" spans="1:66" s="773" customFormat="1" ht="15.75" customHeight="1">
      <c r="A33" s="795">
        <v>16</v>
      </c>
      <c r="B33" s="795" t="s">
        <v>353</v>
      </c>
      <c r="C33" s="795" t="s">
        <v>403</v>
      </c>
      <c r="D33" s="796" t="s">
        <v>581</v>
      </c>
      <c r="E33" s="796" t="s">
        <v>628</v>
      </c>
      <c r="F33" s="813" t="s">
        <v>374</v>
      </c>
      <c r="G33" s="796">
        <v>17697</v>
      </c>
      <c r="H33" s="796">
        <v>4.3</v>
      </c>
      <c r="I33" s="798">
        <f t="shared" si="4"/>
        <v>76097.099999999991</v>
      </c>
      <c r="J33" s="795">
        <v>18</v>
      </c>
      <c r="K33" s="795">
        <v>18</v>
      </c>
      <c r="L33" s="799">
        <f t="shared" si="5"/>
        <v>0.5</v>
      </c>
      <c r="M33" s="799"/>
      <c r="N33" s="803"/>
      <c r="O33" s="803">
        <v>6</v>
      </c>
      <c r="P33" s="803">
        <v>3</v>
      </c>
      <c r="Q33" s="803"/>
      <c r="R33" s="798">
        <f t="shared" si="9"/>
        <v>0</v>
      </c>
      <c r="S33" s="798">
        <f t="shared" si="1"/>
        <v>25365.699999999997</v>
      </c>
      <c r="T33" s="798">
        <f t="shared" si="2"/>
        <v>12682.849999999999</v>
      </c>
      <c r="U33" s="798">
        <f t="shared" si="8"/>
        <v>9512.1374999999989</v>
      </c>
      <c r="V33" s="800">
        <v>0.1</v>
      </c>
      <c r="W33" s="800">
        <v>0.2</v>
      </c>
      <c r="X33" s="801">
        <v>0.125</v>
      </c>
      <c r="Y33" s="800">
        <v>0.25</v>
      </c>
      <c r="Z33" s="800">
        <v>0.15</v>
      </c>
      <c r="AA33" s="800">
        <v>0.3</v>
      </c>
      <c r="AB33" s="803"/>
      <c r="AC33" s="802"/>
      <c r="AD33" s="802">
        <v>6</v>
      </c>
      <c r="AE33" s="803"/>
      <c r="AF33" s="803">
        <v>3</v>
      </c>
      <c r="AG33" s="804"/>
      <c r="AH33" s="804">
        <f t="shared" si="21"/>
        <v>0</v>
      </c>
      <c r="AI33" s="803"/>
      <c r="AJ33" s="804">
        <f t="shared" si="10"/>
        <v>589.9</v>
      </c>
      <c r="AK33" s="804"/>
      <c r="AL33" s="804">
        <f t="shared" si="11"/>
        <v>294.95</v>
      </c>
      <c r="AM33" s="804"/>
      <c r="AN33" s="803"/>
      <c r="AO33" s="795"/>
      <c r="AP33" s="803"/>
      <c r="AQ33" s="804"/>
      <c r="AR33" s="803"/>
      <c r="AS33" s="804"/>
      <c r="AT33" s="802"/>
      <c r="AU33" s="803"/>
      <c r="AV33" s="802"/>
      <c r="AW33" s="805"/>
      <c r="AX33" s="805"/>
      <c r="AY33" s="803"/>
      <c r="AZ33" s="803"/>
      <c r="BA33" s="803"/>
      <c r="BB33" s="802"/>
      <c r="BC33" s="802"/>
      <c r="BD33" s="802"/>
      <c r="BE33" s="802">
        <f t="shared" si="6"/>
        <v>4756.0687499999995</v>
      </c>
      <c r="BF33" s="802">
        <f t="shared" si="7"/>
        <v>53201.60624999999</v>
      </c>
      <c r="BG33" s="772"/>
      <c r="BH33" s="775"/>
      <c r="BI33" s="772"/>
      <c r="BJ33" s="772"/>
      <c r="BK33" s="792"/>
      <c r="BL33" s="774" t="e">
        <f>#REF!</f>
        <v>#REF!</v>
      </c>
    </row>
    <row r="34" spans="1:66" s="773" customFormat="1" ht="15.75" customHeight="1">
      <c r="A34" s="795">
        <v>17</v>
      </c>
      <c r="B34" s="795" t="s">
        <v>356</v>
      </c>
      <c r="C34" s="795" t="s">
        <v>403</v>
      </c>
      <c r="D34" s="796" t="s">
        <v>581</v>
      </c>
      <c r="E34" s="795" t="s">
        <v>604</v>
      </c>
      <c r="F34" s="795" t="s">
        <v>374</v>
      </c>
      <c r="G34" s="796">
        <v>17697</v>
      </c>
      <c r="H34" s="796">
        <v>4.2300000000000004</v>
      </c>
      <c r="I34" s="798">
        <f t="shared" si="4"/>
        <v>74858.310000000012</v>
      </c>
      <c r="J34" s="795">
        <v>18</v>
      </c>
      <c r="K34" s="795">
        <v>18</v>
      </c>
      <c r="L34" s="799">
        <f t="shared" si="5"/>
        <v>0.88888888888888884</v>
      </c>
      <c r="M34" s="799"/>
      <c r="N34" s="803"/>
      <c r="O34" s="803">
        <v>8</v>
      </c>
      <c r="P34" s="803">
        <v>8</v>
      </c>
      <c r="Q34" s="803"/>
      <c r="R34" s="798">
        <f t="shared" si="9"/>
        <v>0</v>
      </c>
      <c r="S34" s="798">
        <f t="shared" si="1"/>
        <v>33270.360000000008</v>
      </c>
      <c r="T34" s="798">
        <f t="shared" si="2"/>
        <v>33270.360000000008</v>
      </c>
      <c r="U34" s="798">
        <f t="shared" si="8"/>
        <v>16635.180000000004</v>
      </c>
      <c r="V34" s="800">
        <v>0.1</v>
      </c>
      <c r="W34" s="800">
        <v>0.2</v>
      </c>
      <c r="X34" s="801">
        <v>0.125</v>
      </c>
      <c r="Y34" s="800">
        <v>0.25</v>
      </c>
      <c r="Z34" s="800">
        <v>0.15</v>
      </c>
      <c r="AA34" s="800">
        <v>0.3</v>
      </c>
      <c r="AB34" s="802"/>
      <c r="AC34" s="802"/>
      <c r="AD34" s="802">
        <v>8</v>
      </c>
      <c r="AE34" s="803"/>
      <c r="AF34" s="803">
        <v>8</v>
      </c>
      <c r="AG34" s="804"/>
      <c r="AH34" s="804">
        <f t="shared" si="21"/>
        <v>0</v>
      </c>
      <c r="AI34" s="803"/>
      <c r="AJ34" s="804">
        <f t="shared" si="10"/>
        <v>786.5333333333333</v>
      </c>
      <c r="AK34" s="804"/>
      <c r="AL34" s="804">
        <f t="shared" si="11"/>
        <v>786.5333333333333</v>
      </c>
      <c r="AM34" s="804"/>
      <c r="AN34" s="803"/>
      <c r="AO34" s="795"/>
      <c r="AP34" s="803"/>
      <c r="AQ34" s="795"/>
      <c r="AR34" s="803"/>
      <c r="AS34" s="795"/>
      <c r="AT34" s="802"/>
      <c r="AU34" s="803"/>
      <c r="AV34" s="805"/>
      <c r="AW34" s="805"/>
      <c r="AX34" s="803"/>
      <c r="AY34" s="803"/>
      <c r="AZ34" s="802"/>
      <c r="BA34" s="803"/>
      <c r="BB34" s="802"/>
      <c r="BC34" s="802"/>
      <c r="BD34" s="802"/>
      <c r="BE34" s="802">
        <f t="shared" si="6"/>
        <v>8317.590000000002</v>
      </c>
      <c r="BF34" s="802">
        <f t="shared" si="7"/>
        <v>93066.5566666667</v>
      </c>
      <c r="BG34" s="772"/>
      <c r="BH34" s="775"/>
      <c r="BI34" s="772"/>
      <c r="BJ34" s="772"/>
      <c r="BK34" s="792"/>
      <c r="BL34" s="774" t="e">
        <f>#REF!</f>
        <v>#REF!</v>
      </c>
    </row>
    <row r="35" spans="1:66" s="773" customFormat="1" ht="15.75" customHeight="1">
      <c r="A35" s="795"/>
      <c r="B35" s="795" t="s">
        <v>635</v>
      </c>
      <c r="C35" s="795" t="s">
        <v>403</v>
      </c>
      <c r="D35" s="796" t="s">
        <v>582</v>
      </c>
      <c r="E35" s="795" t="s">
        <v>604</v>
      </c>
      <c r="F35" s="795" t="s">
        <v>355</v>
      </c>
      <c r="G35" s="796">
        <v>17697</v>
      </c>
      <c r="H35" s="796">
        <v>3.65</v>
      </c>
      <c r="I35" s="798">
        <f t="shared" si="4"/>
        <v>64594.049999999996</v>
      </c>
      <c r="J35" s="795">
        <v>18</v>
      </c>
      <c r="K35" s="795">
        <v>18</v>
      </c>
      <c r="L35" s="799">
        <f t="shared" si="5"/>
        <v>0.1111111111111111</v>
      </c>
      <c r="M35" s="799"/>
      <c r="N35" s="803">
        <v>2</v>
      </c>
      <c r="O35" s="803"/>
      <c r="P35" s="803"/>
      <c r="Q35" s="803"/>
      <c r="R35" s="798">
        <f t="shared" si="9"/>
        <v>7177.1166666666659</v>
      </c>
      <c r="S35" s="798">
        <f t="shared" si="1"/>
        <v>0</v>
      </c>
      <c r="T35" s="798">
        <f t="shared" si="2"/>
        <v>0</v>
      </c>
      <c r="U35" s="798">
        <f t="shared" si="8"/>
        <v>1794.2791666666665</v>
      </c>
      <c r="V35" s="800"/>
      <c r="W35" s="800"/>
      <c r="X35" s="801"/>
      <c r="Y35" s="800"/>
      <c r="Z35" s="800"/>
      <c r="AA35" s="800"/>
      <c r="AB35" s="802"/>
      <c r="AC35" s="802"/>
      <c r="AD35" s="802"/>
      <c r="AE35" s="803"/>
      <c r="AF35" s="803"/>
      <c r="AG35" s="804"/>
      <c r="AH35" s="804">
        <f t="shared" si="21"/>
        <v>0</v>
      </c>
      <c r="AI35" s="803"/>
      <c r="AJ35" s="804">
        <f t="shared" si="10"/>
        <v>0</v>
      </c>
      <c r="AK35" s="804"/>
      <c r="AL35" s="804">
        <f t="shared" si="11"/>
        <v>0</v>
      </c>
      <c r="AM35" s="804"/>
      <c r="AN35" s="803"/>
      <c r="AO35" s="795"/>
      <c r="AP35" s="803"/>
      <c r="AQ35" s="795"/>
      <c r="AR35" s="803"/>
      <c r="AS35" s="795"/>
      <c r="AT35" s="802"/>
      <c r="AU35" s="803"/>
      <c r="AV35" s="802"/>
      <c r="AW35" s="805"/>
      <c r="AX35" s="803"/>
      <c r="AY35" s="803"/>
      <c r="AZ35" s="802"/>
      <c r="BA35" s="802"/>
      <c r="BB35" s="802"/>
      <c r="BC35" s="802"/>
      <c r="BD35" s="802"/>
      <c r="BE35" s="802">
        <f t="shared" si="6"/>
        <v>897.13958333333323</v>
      </c>
      <c r="BF35" s="802">
        <f t="shared" si="7"/>
        <v>9868.5354166666657</v>
      </c>
      <c r="BG35" s="772"/>
      <c r="BH35" s="775"/>
      <c r="BI35" s="772"/>
      <c r="BJ35" s="772"/>
      <c r="BK35" s="792"/>
      <c r="BL35" s="774" t="e">
        <f>#REF!</f>
        <v>#REF!</v>
      </c>
    </row>
    <row r="36" spans="1:66" s="773" customFormat="1" ht="15.75" customHeight="1">
      <c r="A36" s="795">
        <v>18</v>
      </c>
      <c r="B36" s="795" t="s">
        <v>651</v>
      </c>
      <c r="C36" s="795" t="s">
        <v>403</v>
      </c>
      <c r="D36" s="796" t="s">
        <v>585</v>
      </c>
      <c r="E36" s="795" t="s">
        <v>629</v>
      </c>
      <c r="F36" s="813" t="s">
        <v>401</v>
      </c>
      <c r="G36" s="796">
        <v>17697</v>
      </c>
      <c r="H36" s="796">
        <v>4.7</v>
      </c>
      <c r="I36" s="798">
        <f t="shared" si="4"/>
        <v>83175.900000000009</v>
      </c>
      <c r="J36" s="795">
        <v>18</v>
      </c>
      <c r="K36" s="795">
        <v>18</v>
      </c>
      <c r="L36" s="799">
        <f t="shared" si="5"/>
        <v>1</v>
      </c>
      <c r="M36" s="799"/>
      <c r="N36" s="803">
        <v>2</v>
      </c>
      <c r="O36" s="803">
        <v>12</v>
      </c>
      <c r="P36" s="803">
        <v>4</v>
      </c>
      <c r="Q36" s="803"/>
      <c r="R36" s="798">
        <f t="shared" si="9"/>
        <v>9241.7666666666682</v>
      </c>
      <c r="S36" s="798">
        <f t="shared" si="1"/>
        <v>55450.600000000006</v>
      </c>
      <c r="T36" s="798">
        <f t="shared" si="2"/>
        <v>18483.533333333336</v>
      </c>
      <c r="U36" s="798">
        <f t="shared" si="8"/>
        <v>20793.975000000002</v>
      </c>
      <c r="V36" s="800">
        <v>0.1</v>
      </c>
      <c r="W36" s="800">
        <v>0.2</v>
      </c>
      <c r="X36" s="801">
        <v>0.125</v>
      </c>
      <c r="Y36" s="800">
        <v>0.25</v>
      </c>
      <c r="Z36" s="800">
        <v>0.15</v>
      </c>
      <c r="AA36" s="800">
        <v>0.3</v>
      </c>
      <c r="AB36" s="802">
        <v>2</v>
      </c>
      <c r="AC36" s="802"/>
      <c r="AD36" s="802">
        <v>12</v>
      </c>
      <c r="AE36" s="803"/>
      <c r="AF36" s="803">
        <v>4</v>
      </c>
      <c r="AG36" s="804"/>
      <c r="AH36" s="804">
        <f>G36*25%/18*AB36*50%</f>
        <v>245.79166666666666</v>
      </c>
      <c r="AI36" s="803"/>
      <c r="AJ36" s="804">
        <f>G36*25%/18*AD36*50%</f>
        <v>1474.75</v>
      </c>
      <c r="AK36" s="804"/>
      <c r="AL36" s="804">
        <f>G36*25%/J36*AF36*50%</f>
        <v>491.58333333333331</v>
      </c>
      <c r="AM36" s="795"/>
      <c r="AN36" s="803">
        <v>0</v>
      </c>
      <c r="AO36" s="804">
        <f>G36*Y36/K36*AN36</f>
        <v>0</v>
      </c>
      <c r="AP36" s="803">
        <v>0</v>
      </c>
      <c r="AQ36" s="804">
        <f>G36*Y36/J36*AP36</f>
        <v>0</v>
      </c>
      <c r="AR36" s="803">
        <v>0</v>
      </c>
      <c r="AS36" s="804">
        <f>G36*Y36/J36*AR36</f>
        <v>0</v>
      </c>
      <c r="AT36" s="802"/>
      <c r="AU36" s="803"/>
      <c r="AV36" s="802"/>
      <c r="AW36" s="803"/>
      <c r="AX36" s="803"/>
      <c r="AY36" s="803"/>
      <c r="AZ36" s="802"/>
      <c r="BA36" s="802"/>
      <c r="BB36" s="802"/>
      <c r="BC36" s="802"/>
      <c r="BD36" s="802"/>
      <c r="BE36" s="802">
        <f t="shared" si="6"/>
        <v>10396.987500000003</v>
      </c>
      <c r="BF36" s="802">
        <f t="shared" si="7"/>
        <v>116578.98750000002</v>
      </c>
      <c r="BG36" s="772"/>
      <c r="BH36" s="775"/>
      <c r="BI36" s="772"/>
      <c r="BJ36" s="772"/>
      <c r="BK36" s="792"/>
      <c r="BL36" s="774" t="e">
        <f>#REF!</f>
        <v>#REF!</v>
      </c>
    </row>
    <row r="37" spans="1:66" s="773" customFormat="1" ht="15.75" customHeight="1">
      <c r="A37" s="795">
        <v>19</v>
      </c>
      <c r="B37" s="795" t="s">
        <v>574</v>
      </c>
      <c r="C37" s="795" t="s">
        <v>403</v>
      </c>
      <c r="D37" s="796" t="s">
        <v>581</v>
      </c>
      <c r="E37" s="795" t="s">
        <v>630</v>
      </c>
      <c r="F37" s="795" t="s">
        <v>374</v>
      </c>
      <c r="G37" s="796">
        <v>17697</v>
      </c>
      <c r="H37" s="796">
        <v>4.09</v>
      </c>
      <c r="I37" s="798">
        <f t="shared" si="4"/>
        <v>72380.73</v>
      </c>
      <c r="J37" s="795">
        <v>18</v>
      </c>
      <c r="K37" s="795">
        <v>18</v>
      </c>
      <c r="L37" s="799">
        <f t="shared" si="5"/>
        <v>0.5</v>
      </c>
      <c r="M37" s="799"/>
      <c r="N37" s="803"/>
      <c r="O37" s="803"/>
      <c r="P37" s="803">
        <v>9</v>
      </c>
      <c r="Q37" s="803"/>
      <c r="R37" s="798">
        <f t="shared" si="9"/>
        <v>0</v>
      </c>
      <c r="S37" s="798">
        <f t="shared" si="1"/>
        <v>0</v>
      </c>
      <c r="T37" s="798">
        <f t="shared" si="2"/>
        <v>36190.364999999998</v>
      </c>
      <c r="U37" s="798">
        <f t="shared" si="8"/>
        <v>9047.5912499999995</v>
      </c>
      <c r="V37" s="800">
        <v>0.1</v>
      </c>
      <c r="W37" s="800">
        <v>0.2</v>
      </c>
      <c r="X37" s="801">
        <v>0.125</v>
      </c>
      <c r="Y37" s="800">
        <v>0.25</v>
      </c>
      <c r="Z37" s="800">
        <v>0.15</v>
      </c>
      <c r="AA37" s="800">
        <v>0.3</v>
      </c>
      <c r="AB37" s="802"/>
      <c r="AC37" s="802"/>
      <c r="AD37" s="802"/>
      <c r="AE37" s="803"/>
      <c r="AF37" s="802">
        <v>9</v>
      </c>
      <c r="AG37" s="804"/>
      <c r="AH37" s="804">
        <f>G37*20%/18*AB37*50%</f>
        <v>0</v>
      </c>
      <c r="AI37" s="803"/>
      <c r="AJ37" s="804">
        <f>G37*20%/18*AD37*50%</f>
        <v>0</v>
      </c>
      <c r="AK37" s="804"/>
      <c r="AL37" s="804">
        <f>G37*20%/J37*AF37*50%</f>
        <v>884.84999999999991</v>
      </c>
      <c r="AM37" s="804"/>
      <c r="AN37" s="803"/>
      <c r="AO37" s="795"/>
      <c r="AP37" s="803"/>
      <c r="AQ37" s="795"/>
      <c r="AR37" s="803"/>
      <c r="AS37" s="795"/>
      <c r="AT37" s="802"/>
      <c r="AU37" s="803"/>
      <c r="AV37" s="802"/>
      <c r="AW37" s="803"/>
      <c r="AX37" s="802"/>
      <c r="AY37" s="803"/>
      <c r="AZ37" s="803"/>
      <c r="BA37" s="802"/>
      <c r="BB37" s="802"/>
      <c r="BC37" s="802"/>
      <c r="BD37" s="802"/>
      <c r="BE37" s="802">
        <f t="shared" si="6"/>
        <v>4523.7956249999997</v>
      </c>
      <c r="BF37" s="802">
        <f t="shared" si="7"/>
        <v>50646.601874999993</v>
      </c>
      <c r="BG37" s="772"/>
      <c r="BH37" s="775"/>
      <c r="BI37" s="772"/>
      <c r="BJ37" s="772"/>
      <c r="BK37" s="792"/>
      <c r="BL37" s="774" t="e">
        <f>#REF!</f>
        <v>#REF!</v>
      </c>
    </row>
    <row r="38" spans="1:66" s="773" customFormat="1" ht="15.75" customHeight="1">
      <c r="A38" s="795">
        <v>20</v>
      </c>
      <c r="B38" s="795" t="s">
        <v>476</v>
      </c>
      <c r="C38" s="795" t="s">
        <v>403</v>
      </c>
      <c r="D38" s="796" t="s">
        <v>583</v>
      </c>
      <c r="E38" s="795" t="s">
        <v>636</v>
      </c>
      <c r="F38" s="813" t="s">
        <v>300</v>
      </c>
      <c r="G38" s="796">
        <v>17697</v>
      </c>
      <c r="H38" s="796">
        <v>3.79</v>
      </c>
      <c r="I38" s="798">
        <f t="shared" si="4"/>
        <v>67071.63</v>
      </c>
      <c r="J38" s="795">
        <v>18</v>
      </c>
      <c r="K38" s="795">
        <v>18</v>
      </c>
      <c r="L38" s="799">
        <f t="shared" si="5"/>
        <v>1.1666666666666665</v>
      </c>
      <c r="M38" s="799"/>
      <c r="N38" s="803"/>
      <c r="O38" s="803">
        <v>15</v>
      </c>
      <c r="P38" s="803">
        <v>6</v>
      </c>
      <c r="Q38" s="803"/>
      <c r="R38" s="798">
        <f t="shared" si="9"/>
        <v>0</v>
      </c>
      <c r="S38" s="798">
        <f t="shared" si="1"/>
        <v>55893.025000000001</v>
      </c>
      <c r="T38" s="798">
        <f t="shared" si="2"/>
        <v>22357.21</v>
      </c>
      <c r="U38" s="798">
        <f t="shared" si="8"/>
        <v>19562.55875</v>
      </c>
      <c r="V38" s="800">
        <v>0.1</v>
      </c>
      <c r="W38" s="800">
        <v>0.2</v>
      </c>
      <c r="X38" s="801">
        <v>0.125</v>
      </c>
      <c r="Y38" s="800">
        <v>0.25</v>
      </c>
      <c r="Z38" s="800">
        <v>0.15</v>
      </c>
      <c r="AA38" s="800">
        <v>0.3</v>
      </c>
      <c r="AB38" s="802"/>
      <c r="AC38" s="802"/>
      <c r="AD38" s="802"/>
      <c r="AE38" s="803"/>
      <c r="AF38" s="802"/>
      <c r="AG38" s="804"/>
      <c r="AH38" s="804">
        <f>G38*20%/18*AB38*50%</f>
        <v>0</v>
      </c>
      <c r="AI38" s="803"/>
      <c r="AJ38" s="804">
        <f>G38*20%/18*AD38*50%</f>
        <v>0</v>
      </c>
      <c r="AK38" s="804"/>
      <c r="AL38" s="804">
        <f>G38*20%/J38*AF38*50%</f>
        <v>0</v>
      </c>
      <c r="AM38" s="804"/>
      <c r="AN38" s="803"/>
      <c r="AO38" s="795"/>
      <c r="AP38" s="803"/>
      <c r="AQ38" s="795"/>
      <c r="AR38" s="803"/>
      <c r="AS38" s="795"/>
      <c r="AT38" s="802"/>
      <c r="AU38" s="803"/>
      <c r="AV38" s="802"/>
      <c r="AW38" s="803"/>
      <c r="AX38" s="805"/>
      <c r="AY38" s="803"/>
      <c r="AZ38" s="802"/>
      <c r="BA38" s="802"/>
      <c r="BB38" s="802"/>
      <c r="BC38" s="802"/>
      <c r="BD38" s="802"/>
      <c r="BE38" s="802">
        <f t="shared" si="6"/>
        <v>9781.2793750000001</v>
      </c>
      <c r="BF38" s="802">
        <f t="shared" si="7"/>
        <v>107594.073125</v>
      </c>
      <c r="BG38" s="772"/>
      <c r="BH38" s="775"/>
      <c r="BI38" s="772"/>
      <c r="BJ38" s="772"/>
      <c r="BK38" s="792"/>
      <c r="BL38" s="774" t="e">
        <f>#REF!</f>
        <v>#REF!</v>
      </c>
    </row>
    <row r="39" spans="1:66" s="773" customFormat="1" ht="15.75" customHeight="1">
      <c r="A39" s="795">
        <v>21</v>
      </c>
      <c r="B39" s="795" t="s">
        <v>381</v>
      </c>
      <c r="C39" s="795" t="s">
        <v>648</v>
      </c>
      <c r="D39" s="796" t="s">
        <v>584</v>
      </c>
      <c r="E39" s="852" t="s">
        <v>634</v>
      </c>
      <c r="F39" s="795" t="s">
        <v>355</v>
      </c>
      <c r="G39" s="796">
        <v>17697</v>
      </c>
      <c r="H39" s="796">
        <v>3.38</v>
      </c>
      <c r="I39" s="798">
        <f t="shared" si="4"/>
        <v>59815.86</v>
      </c>
      <c r="J39" s="795">
        <v>18</v>
      </c>
      <c r="K39" s="795">
        <v>18</v>
      </c>
      <c r="L39" s="799">
        <f t="shared" si="5"/>
        <v>0.27777777777777779</v>
      </c>
      <c r="M39" s="799"/>
      <c r="N39" s="803">
        <v>2</v>
      </c>
      <c r="O39" s="803">
        <v>3</v>
      </c>
      <c r="P39" s="803"/>
      <c r="Q39" s="803"/>
      <c r="R39" s="798">
        <f t="shared" si="9"/>
        <v>6646.2066666666669</v>
      </c>
      <c r="S39" s="798">
        <f t="shared" si="1"/>
        <v>9969.3100000000013</v>
      </c>
      <c r="T39" s="798">
        <f t="shared" si="2"/>
        <v>0</v>
      </c>
      <c r="U39" s="798">
        <f t="shared" si="8"/>
        <v>4153.8791666666675</v>
      </c>
      <c r="V39" s="800"/>
      <c r="W39" s="800"/>
      <c r="X39" s="801"/>
      <c r="Y39" s="800"/>
      <c r="Z39" s="800"/>
      <c r="AA39" s="800"/>
      <c r="AB39" s="802">
        <v>7</v>
      </c>
      <c r="AC39" s="815"/>
      <c r="AD39" s="802"/>
      <c r="AE39" s="803"/>
      <c r="AF39" s="802"/>
      <c r="AG39" s="804"/>
      <c r="AH39" s="804">
        <f>G39*20%/18*AB39*50%</f>
        <v>688.2166666666667</v>
      </c>
      <c r="AI39" s="804"/>
      <c r="AJ39" s="804">
        <f>G39*20%/18*AD39*50%</f>
        <v>0</v>
      </c>
      <c r="AK39" s="804"/>
      <c r="AL39" s="804">
        <f>G39*20%/J39*AF39*50%</f>
        <v>0</v>
      </c>
      <c r="AM39" s="804"/>
      <c r="AN39" s="803"/>
      <c r="AO39" s="804"/>
      <c r="AP39" s="803"/>
      <c r="AQ39" s="804"/>
      <c r="AR39" s="803"/>
      <c r="AS39" s="804"/>
      <c r="AT39" s="802"/>
      <c r="AU39" s="803"/>
      <c r="AV39" s="805">
        <v>2655</v>
      </c>
      <c r="AW39" s="802"/>
      <c r="AX39" s="805"/>
      <c r="AY39" s="803"/>
      <c r="AZ39" s="803"/>
      <c r="BA39" s="802">
        <v>3539</v>
      </c>
      <c r="BB39" s="802"/>
      <c r="BC39" s="802"/>
      <c r="BD39" s="802"/>
      <c r="BE39" s="802">
        <f t="shared" si="6"/>
        <v>2076.9395833333338</v>
      </c>
      <c r="BF39" s="802">
        <f t="shared" si="7"/>
        <v>29728.552083333336</v>
      </c>
      <c r="BG39" s="772"/>
      <c r="BH39" s="775"/>
      <c r="BI39" s="772"/>
      <c r="BJ39" s="772"/>
      <c r="BK39" s="792"/>
      <c r="BL39" s="774" t="e">
        <f>#REF!</f>
        <v>#REF!</v>
      </c>
    </row>
    <row r="40" spans="1:66" s="773" customFormat="1" ht="15.75" customHeight="1">
      <c r="A40" s="795">
        <v>22</v>
      </c>
      <c r="B40" s="795" t="s">
        <v>476</v>
      </c>
      <c r="C40" s="795" t="s">
        <v>403</v>
      </c>
      <c r="D40" s="796" t="s">
        <v>582</v>
      </c>
      <c r="E40" s="795" t="s">
        <v>631</v>
      </c>
      <c r="F40" s="795" t="s">
        <v>355</v>
      </c>
      <c r="G40" s="796">
        <v>17697</v>
      </c>
      <c r="H40" s="796">
        <v>3.14</v>
      </c>
      <c r="I40" s="798">
        <f t="shared" si="4"/>
        <v>55568.58</v>
      </c>
      <c r="J40" s="795">
        <v>18</v>
      </c>
      <c r="K40" s="795"/>
      <c r="L40" s="799">
        <f t="shared" si="5"/>
        <v>0.72222222222222221</v>
      </c>
      <c r="M40" s="799"/>
      <c r="N40" s="803">
        <v>13</v>
      </c>
      <c r="O40" s="803">
        <v>0</v>
      </c>
      <c r="P40" s="803"/>
      <c r="Q40" s="803"/>
      <c r="R40" s="798">
        <f t="shared" si="9"/>
        <v>40132.863333333335</v>
      </c>
      <c r="S40" s="798">
        <f t="shared" si="1"/>
        <v>0</v>
      </c>
      <c r="T40" s="798">
        <f t="shared" si="2"/>
        <v>0</v>
      </c>
      <c r="U40" s="798">
        <f t="shared" si="8"/>
        <v>10033.215833333334</v>
      </c>
      <c r="V40" s="800"/>
      <c r="W40" s="800"/>
      <c r="X40" s="801"/>
      <c r="Y40" s="800"/>
      <c r="Z40" s="800"/>
      <c r="AA40" s="800"/>
      <c r="AB40" s="802"/>
      <c r="AC40" s="815"/>
      <c r="AD40" s="802"/>
      <c r="AE40" s="803"/>
      <c r="AF40" s="802"/>
      <c r="AG40" s="804"/>
      <c r="AH40" s="804"/>
      <c r="AI40" s="804"/>
      <c r="AJ40" s="804"/>
      <c r="AK40" s="804"/>
      <c r="AL40" s="804"/>
      <c r="AM40" s="804"/>
      <c r="AN40" s="803"/>
      <c r="AO40" s="804"/>
      <c r="AP40" s="803"/>
      <c r="AQ40" s="804"/>
      <c r="AR40" s="803"/>
      <c r="AS40" s="804"/>
      <c r="AT40" s="802"/>
      <c r="AU40" s="803"/>
      <c r="AV40" s="802"/>
      <c r="AW40" s="802"/>
      <c r="AX40" s="805"/>
      <c r="AY40" s="803"/>
      <c r="AZ40" s="803"/>
      <c r="BA40" s="802"/>
      <c r="BB40" s="802"/>
      <c r="BC40" s="802"/>
      <c r="BD40" s="802"/>
      <c r="BE40" s="802">
        <f t="shared" si="6"/>
        <v>5016.6079166666677</v>
      </c>
      <c r="BF40" s="802">
        <f t="shared" si="7"/>
        <v>55182.687083333338</v>
      </c>
      <c r="BG40" s="772"/>
      <c r="BH40" s="775"/>
      <c r="BI40" s="772"/>
      <c r="BJ40" s="772"/>
      <c r="BK40" s="792"/>
      <c r="BL40" s="774"/>
    </row>
    <row r="41" spans="1:66" s="851" customFormat="1" ht="16.5" customHeight="1">
      <c r="A41" s="838">
        <v>23</v>
      </c>
      <c r="B41" s="838" t="s">
        <v>637</v>
      </c>
      <c r="C41" s="838" t="s">
        <v>403</v>
      </c>
      <c r="D41" s="853" t="s">
        <v>581</v>
      </c>
      <c r="E41" s="838" t="s">
        <v>638</v>
      </c>
      <c r="F41" s="838" t="s">
        <v>374</v>
      </c>
      <c r="G41" s="839">
        <v>17697</v>
      </c>
      <c r="H41" s="796">
        <v>3.96</v>
      </c>
      <c r="I41" s="840">
        <f t="shared" si="4"/>
        <v>70080.12</v>
      </c>
      <c r="J41" s="838">
        <v>18</v>
      </c>
      <c r="K41" s="838"/>
      <c r="L41" s="799">
        <f t="shared" si="5"/>
        <v>0.88888888888888884</v>
      </c>
      <c r="M41" s="841"/>
      <c r="N41" s="842">
        <v>8</v>
      </c>
      <c r="O41" s="803">
        <v>3</v>
      </c>
      <c r="P41" s="842">
        <v>5</v>
      </c>
      <c r="Q41" s="842"/>
      <c r="R41" s="840">
        <f t="shared" si="9"/>
        <v>31146.719999999998</v>
      </c>
      <c r="S41" s="840"/>
      <c r="T41" s="840">
        <f t="shared" si="2"/>
        <v>19466.699999999997</v>
      </c>
      <c r="U41" s="840">
        <f t="shared" si="8"/>
        <v>12653.355</v>
      </c>
      <c r="V41" s="843"/>
      <c r="W41" s="843"/>
      <c r="X41" s="844"/>
      <c r="Y41" s="843"/>
      <c r="Z41" s="843"/>
      <c r="AA41" s="843"/>
      <c r="AB41" s="845">
        <v>4</v>
      </c>
      <c r="AC41" s="854">
        <v>4</v>
      </c>
      <c r="AD41" s="845">
        <v>3</v>
      </c>
      <c r="AE41" s="842"/>
      <c r="AF41" s="845">
        <v>5</v>
      </c>
      <c r="AG41" s="846"/>
      <c r="AH41" s="846">
        <v>393</v>
      </c>
      <c r="AI41" s="846">
        <v>787</v>
      </c>
      <c r="AJ41" s="846">
        <v>369</v>
      </c>
      <c r="AK41" s="846"/>
      <c r="AL41" s="846">
        <v>492</v>
      </c>
      <c r="AM41" s="846"/>
      <c r="AN41" s="842"/>
      <c r="AO41" s="846"/>
      <c r="AP41" s="842"/>
      <c r="AQ41" s="846"/>
      <c r="AR41" s="842"/>
      <c r="AS41" s="846"/>
      <c r="AT41" s="845"/>
      <c r="AU41" s="845"/>
      <c r="AV41" s="845"/>
      <c r="AW41" s="845"/>
      <c r="AX41" s="855"/>
      <c r="AY41" s="842"/>
      <c r="AZ41" s="842"/>
      <c r="BA41" s="845"/>
      <c r="BB41" s="845"/>
      <c r="BC41" s="845"/>
      <c r="BD41" s="845"/>
      <c r="BE41" s="845">
        <f t="shared" si="6"/>
        <v>6326.6774999999998</v>
      </c>
      <c r="BF41" s="802">
        <f t="shared" si="7"/>
        <v>71634.452499999999</v>
      </c>
      <c r="BG41" s="847"/>
      <c r="BH41" s="848"/>
      <c r="BI41" s="847"/>
      <c r="BJ41" s="847"/>
      <c r="BK41" s="849"/>
      <c r="BL41" s="850"/>
    </row>
    <row r="42" spans="1:66" s="773" customFormat="1" ht="15.75" customHeight="1">
      <c r="A42" s="795">
        <v>24</v>
      </c>
      <c r="B42" s="795" t="s">
        <v>609</v>
      </c>
      <c r="C42" s="795" t="s">
        <v>403</v>
      </c>
      <c r="D42" s="796" t="s">
        <v>582</v>
      </c>
      <c r="E42" s="795" t="s">
        <v>632</v>
      </c>
      <c r="F42" s="795" t="s">
        <v>374</v>
      </c>
      <c r="G42" s="796">
        <v>17697</v>
      </c>
      <c r="H42" s="796">
        <v>3.14</v>
      </c>
      <c r="I42" s="798">
        <f t="shared" si="4"/>
        <v>55568.58</v>
      </c>
      <c r="J42" s="795">
        <v>18</v>
      </c>
      <c r="K42" s="795">
        <v>18</v>
      </c>
      <c r="L42" s="799">
        <f t="shared" si="5"/>
        <v>0.77777777777777768</v>
      </c>
      <c r="M42" s="799"/>
      <c r="N42" s="803">
        <v>8</v>
      </c>
      <c r="O42" s="803">
        <v>6</v>
      </c>
      <c r="P42" s="803"/>
      <c r="Q42" s="803"/>
      <c r="R42" s="798">
        <f>I42/J42*N42</f>
        <v>24697.146666666667</v>
      </c>
      <c r="S42" s="798">
        <f>I42/J42*O42</f>
        <v>18522.86</v>
      </c>
      <c r="T42" s="798">
        <f t="shared" si="2"/>
        <v>0</v>
      </c>
      <c r="U42" s="798">
        <f t="shared" si="8"/>
        <v>10805.001666666667</v>
      </c>
      <c r="V42" s="800"/>
      <c r="W42" s="800"/>
      <c r="X42" s="801"/>
      <c r="Y42" s="800"/>
      <c r="Z42" s="800"/>
      <c r="AA42" s="800"/>
      <c r="AB42" s="802">
        <v>8</v>
      </c>
      <c r="AC42" s="815"/>
      <c r="AD42" s="802">
        <v>6</v>
      </c>
      <c r="AE42" s="803"/>
      <c r="AF42" s="802"/>
      <c r="AG42" s="804"/>
      <c r="AH42" s="804">
        <f>G42*20%/18*AB42*50%</f>
        <v>786.5333333333333</v>
      </c>
      <c r="AI42" s="804"/>
      <c r="AJ42" s="804">
        <f>G42*20%/18*AD42*50%</f>
        <v>589.9</v>
      </c>
      <c r="AK42" s="804"/>
      <c r="AL42" s="804">
        <f>G42*20%/J42*AF42*50%</f>
        <v>0</v>
      </c>
      <c r="AM42" s="804"/>
      <c r="AN42" s="803"/>
      <c r="AO42" s="804"/>
      <c r="AP42" s="803"/>
      <c r="AQ42" s="804"/>
      <c r="AR42" s="803"/>
      <c r="AS42" s="804"/>
      <c r="AT42" s="802"/>
      <c r="AU42" s="803"/>
      <c r="AV42" s="802"/>
      <c r="AW42" s="802"/>
      <c r="AX42" s="805"/>
      <c r="AY42" s="803"/>
      <c r="AZ42" s="803"/>
      <c r="BA42" s="802"/>
      <c r="BB42" s="802"/>
      <c r="BC42" s="802">
        <v>2</v>
      </c>
      <c r="BD42" s="802">
        <f t="shared" ref="BD42:BD44" si="22">((17697*40%)/18)*BC42</f>
        <v>786.5333333333333</v>
      </c>
      <c r="BE42" s="802">
        <f t="shared" si="6"/>
        <v>5402.5008333333335</v>
      </c>
      <c r="BF42" s="802">
        <f t="shared" si="7"/>
        <v>61590.47583333333</v>
      </c>
      <c r="BG42" s="772"/>
      <c r="BH42" s="775"/>
      <c r="BI42" s="772"/>
      <c r="BJ42" s="772"/>
      <c r="BK42" s="792"/>
      <c r="BL42" s="774" t="e">
        <f>#REF!</f>
        <v>#REF!</v>
      </c>
    </row>
    <row r="43" spans="1:66" s="773" customFormat="1" ht="15.75" customHeight="1">
      <c r="A43" s="795">
        <v>25</v>
      </c>
      <c r="B43" s="795" t="s">
        <v>392</v>
      </c>
      <c r="C43" s="795" t="s">
        <v>646</v>
      </c>
      <c r="D43" s="796" t="s">
        <v>584</v>
      </c>
      <c r="E43" s="795" t="s">
        <v>645</v>
      </c>
      <c r="F43" s="795" t="s">
        <v>355</v>
      </c>
      <c r="G43" s="796">
        <v>17697</v>
      </c>
      <c r="H43" s="796">
        <v>2.34</v>
      </c>
      <c r="I43" s="798">
        <f t="shared" si="4"/>
        <v>41410.979999999996</v>
      </c>
      <c r="J43" s="795">
        <v>18</v>
      </c>
      <c r="K43" s="795"/>
      <c r="L43" s="799">
        <f t="shared" si="5"/>
        <v>1</v>
      </c>
      <c r="M43" s="799"/>
      <c r="N43" s="803">
        <v>18</v>
      </c>
      <c r="O43" s="803"/>
      <c r="P43" s="803"/>
      <c r="Q43" s="803"/>
      <c r="R43" s="798">
        <f>I43/J43*N43</f>
        <v>41410.979999999996</v>
      </c>
      <c r="S43" s="798"/>
      <c r="T43" s="798">
        <f t="shared" si="2"/>
        <v>0</v>
      </c>
      <c r="U43" s="798">
        <f t="shared" si="8"/>
        <v>10352.744999999999</v>
      </c>
      <c r="V43" s="800"/>
      <c r="W43" s="800"/>
      <c r="X43" s="801"/>
      <c r="Y43" s="800"/>
      <c r="Z43" s="800"/>
      <c r="AA43" s="800"/>
      <c r="AB43" s="802">
        <v>18</v>
      </c>
      <c r="AC43" s="815">
        <v>1</v>
      </c>
      <c r="AD43" s="802"/>
      <c r="AE43" s="803"/>
      <c r="AF43" s="802"/>
      <c r="AG43" s="804"/>
      <c r="AH43" s="804">
        <f>G43*20%/18*AB43*50%</f>
        <v>1769.6999999999998</v>
      </c>
      <c r="AI43" s="846">
        <v>787</v>
      </c>
      <c r="AJ43" s="804"/>
      <c r="AK43" s="804"/>
      <c r="AL43" s="804"/>
      <c r="AM43" s="804"/>
      <c r="AN43" s="803"/>
      <c r="AO43" s="804"/>
      <c r="AP43" s="803"/>
      <c r="AQ43" s="804"/>
      <c r="AR43" s="803"/>
      <c r="AS43" s="804"/>
      <c r="AT43" s="802">
        <v>2212</v>
      </c>
      <c r="AU43" s="803"/>
      <c r="AV43" s="802"/>
      <c r="AW43" s="802"/>
      <c r="AX43" s="805"/>
      <c r="AY43" s="803"/>
      <c r="AZ43" s="803"/>
      <c r="BA43" s="802"/>
      <c r="BB43" s="802"/>
      <c r="BC43" s="802">
        <v>17</v>
      </c>
      <c r="BD43" s="802">
        <f t="shared" si="22"/>
        <v>6685.5333333333328</v>
      </c>
      <c r="BE43" s="802">
        <f t="shared" si="6"/>
        <v>5176.3724999999995</v>
      </c>
      <c r="BF43" s="802">
        <f t="shared" si="7"/>
        <v>68394.330833333312</v>
      </c>
      <c r="BG43" s="772"/>
      <c r="BH43" s="775"/>
      <c r="BI43" s="772"/>
      <c r="BJ43" s="772"/>
      <c r="BK43" s="792"/>
      <c r="BL43" s="774"/>
    </row>
    <row r="44" spans="1:66" s="773" customFormat="1" ht="15.75" customHeight="1">
      <c r="A44" s="795">
        <v>26</v>
      </c>
      <c r="B44" s="795" t="s">
        <v>641</v>
      </c>
      <c r="C44" s="795" t="s">
        <v>403</v>
      </c>
      <c r="D44" s="796" t="s">
        <v>582</v>
      </c>
      <c r="E44" s="795" t="s">
        <v>620</v>
      </c>
      <c r="F44" s="795" t="s">
        <v>355</v>
      </c>
      <c r="G44" s="796">
        <v>17697</v>
      </c>
      <c r="H44" s="796">
        <v>3.51</v>
      </c>
      <c r="I44" s="798">
        <f t="shared" si="4"/>
        <v>62116.469999999994</v>
      </c>
      <c r="J44" s="795">
        <v>18</v>
      </c>
      <c r="K44" s="795"/>
      <c r="L44" s="799">
        <f t="shared" si="5"/>
        <v>0</v>
      </c>
      <c r="M44" s="799"/>
      <c r="N44" s="803"/>
      <c r="O44" s="803"/>
      <c r="P44" s="803"/>
      <c r="Q44" s="803"/>
      <c r="R44" s="798"/>
      <c r="S44" s="798"/>
      <c r="T44" s="798">
        <f t="shared" si="2"/>
        <v>0</v>
      </c>
      <c r="U44" s="798"/>
      <c r="V44" s="800"/>
      <c r="W44" s="800"/>
      <c r="X44" s="801"/>
      <c r="Y44" s="800"/>
      <c r="Z44" s="800"/>
      <c r="AA44" s="800"/>
      <c r="AB44" s="802"/>
      <c r="AC44" s="815"/>
      <c r="AD44" s="802"/>
      <c r="AE44" s="803"/>
      <c r="AF44" s="802"/>
      <c r="AG44" s="804"/>
      <c r="AH44" s="804"/>
      <c r="AI44" s="804"/>
      <c r="AJ44" s="804"/>
      <c r="AK44" s="804"/>
      <c r="AL44" s="804"/>
      <c r="AM44" s="804"/>
      <c r="AN44" s="803"/>
      <c r="AO44" s="804"/>
      <c r="AP44" s="803"/>
      <c r="AQ44" s="804"/>
      <c r="AR44" s="803"/>
      <c r="AS44" s="804"/>
      <c r="AT44" s="802"/>
      <c r="AU44" s="803"/>
      <c r="AV44" s="802"/>
      <c r="AW44" s="802"/>
      <c r="AX44" s="805">
        <v>2655</v>
      </c>
      <c r="AY44" s="803"/>
      <c r="AZ44" s="803"/>
      <c r="BA44" s="802">
        <v>3539</v>
      </c>
      <c r="BB44" s="802"/>
      <c r="BC44" s="802">
        <v>4</v>
      </c>
      <c r="BD44" s="802">
        <f t="shared" si="22"/>
        <v>1573.0666666666666</v>
      </c>
      <c r="BE44" s="802">
        <v>265</v>
      </c>
      <c r="BF44" s="802">
        <f t="shared" si="7"/>
        <v>8032.0666666666666</v>
      </c>
      <c r="BG44" s="772"/>
      <c r="BH44" s="775"/>
      <c r="BI44" s="772"/>
      <c r="BJ44" s="772"/>
      <c r="BK44" s="792"/>
      <c r="BL44" s="774"/>
    </row>
    <row r="45" spans="1:66" s="773" customFormat="1" ht="15.75" customHeight="1">
      <c r="A45" s="765" t="s">
        <v>302</v>
      </c>
      <c r="B45" s="765" t="s">
        <v>302</v>
      </c>
      <c r="C45" s="765" t="s">
        <v>302</v>
      </c>
      <c r="D45" s="765" t="s">
        <v>302</v>
      </c>
      <c r="E45" s="765" t="s">
        <v>302</v>
      </c>
      <c r="F45" s="765" t="s">
        <v>302</v>
      </c>
      <c r="G45" s="765" t="s">
        <v>302</v>
      </c>
      <c r="H45" s="765"/>
      <c r="I45" s="766">
        <f>SUM(I17:I44)</f>
        <v>1902958.4100000004</v>
      </c>
      <c r="J45" s="765" t="s">
        <v>302</v>
      </c>
      <c r="K45" s="770"/>
      <c r="L45" s="905">
        <f t="shared" ref="L45" si="23">SUM(L17:L44)</f>
        <v>20.833333333333336</v>
      </c>
      <c r="M45" s="774"/>
      <c r="N45" s="774">
        <f>SUM(N17:N44)</f>
        <v>115</v>
      </c>
      <c r="O45" s="774">
        <f t="shared" ref="O45:BF45" si="24">SUM(O17:O44)</f>
        <v>183</v>
      </c>
      <c r="P45" s="774">
        <f t="shared" si="24"/>
        <v>77</v>
      </c>
      <c r="Q45" s="774"/>
      <c r="R45" s="774">
        <f t="shared" si="24"/>
        <v>433350.37166666659</v>
      </c>
      <c r="S45" s="774">
        <f t="shared" si="24"/>
        <v>687105.68833333335</v>
      </c>
      <c r="T45" s="774">
        <f t="shared" si="24"/>
        <v>306698.84166666673</v>
      </c>
      <c r="U45" s="774">
        <f t="shared" si="24"/>
        <v>356788.72541666665</v>
      </c>
      <c r="V45" s="774">
        <f t="shared" si="24"/>
        <v>2.0000000000000004</v>
      </c>
      <c r="W45" s="774">
        <f t="shared" si="24"/>
        <v>4.0000000000000009</v>
      </c>
      <c r="X45" s="774">
        <f t="shared" si="24"/>
        <v>2.5</v>
      </c>
      <c r="Y45" s="774">
        <f t="shared" si="24"/>
        <v>5</v>
      </c>
      <c r="Z45" s="774">
        <f t="shared" si="24"/>
        <v>2.9999999999999991</v>
      </c>
      <c r="AA45" s="774">
        <f t="shared" si="24"/>
        <v>5.9999999999999982</v>
      </c>
      <c r="AB45" s="774">
        <f t="shared" si="24"/>
        <v>79</v>
      </c>
      <c r="AC45" s="774">
        <f t="shared" si="24"/>
        <v>23</v>
      </c>
      <c r="AD45" s="774">
        <f t="shared" si="24"/>
        <v>104</v>
      </c>
      <c r="AE45" s="774">
        <f t="shared" si="24"/>
        <v>0</v>
      </c>
      <c r="AF45" s="774">
        <f t="shared" si="24"/>
        <v>52</v>
      </c>
      <c r="AG45" s="774">
        <f t="shared" si="24"/>
        <v>0</v>
      </c>
      <c r="AH45" s="774">
        <f t="shared" si="24"/>
        <v>8332.0708333333314</v>
      </c>
      <c r="AI45" s="774">
        <f t="shared" si="24"/>
        <v>7865.8666666666668</v>
      </c>
      <c r="AJ45" s="774">
        <f t="shared" si="24"/>
        <v>12142.420833333332</v>
      </c>
      <c r="AK45" s="774">
        <f t="shared" si="24"/>
        <v>0</v>
      </c>
      <c r="AL45" s="774">
        <f t="shared" si="24"/>
        <v>5604.5083333333332</v>
      </c>
      <c r="AM45" s="774">
        <f t="shared" si="24"/>
        <v>0</v>
      </c>
      <c r="AN45" s="774">
        <f t="shared" si="24"/>
        <v>0</v>
      </c>
      <c r="AO45" s="774">
        <f t="shared" si="24"/>
        <v>0</v>
      </c>
      <c r="AP45" s="774">
        <f t="shared" si="24"/>
        <v>0</v>
      </c>
      <c r="AQ45" s="774">
        <f t="shared" si="24"/>
        <v>0</v>
      </c>
      <c r="AR45" s="774">
        <f t="shared" si="24"/>
        <v>0</v>
      </c>
      <c r="AS45" s="774">
        <f t="shared" si="24"/>
        <v>0</v>
      </c>
      <c r="AT45" s="774">
        <f t="shared" si="24"/>
        <v>6636</v>
      </c>
      <c r="AU45" s="774">
        <f t="shared" si="24"/>
        <v>4424</v>
      </c>
      <c r="AV45" s="774">
        <f t="shared" si="24"/>
        <v>13275</v>
      </c>
      <c r="AW45" s="774">
        <f t="shared" si="24"/>
        <v>0</v>
      </c>
      <c r="AX45" s="774">
        <f t="shared" si="24"/>
        <v>5310</v>
      </c>
      <c r="AY45" s="774">
        <f t="shared" si="24"/>
        <v>0</v>
      </c>
      <c r="AZ45" s="774">
        <f t="shared" si="24"/>
        <v>3540</v>
      </c>
      <c r="BA45" s="774">
        <f t="shared" si="24"/>
        <v>24773</v>
      </c>
      <c r="BB45" s="774">
        <f t="shared" si="24"/>
        <v>0</v>
      </c>
      <c r="BC45" s="774">
        <f t="shared" si="24"/>
        <v>31</v>
      </c>
      <c r="BD45" s="774">
        <f t="shared" si="24"/>
        <v>12191.266666666666</v>
      </c>
      <c r="BE45" s="774">
        <f t="shared" si="24"/>
        <v>178659.36270833333</v>
      </c>
      <c r="BF45" s="774">
        <f t="shared" si="24"/>
        <v>2066697.1231249992</v>
      </c>
      <c r="BG45" s="776"/>
      <c r="BH45" s="776"/>
      <c r="BI45" s="777">
        <f>SUM(BI17:BI42)</f>
        <v>0</v>
      </c>
      <c r="BJ45" s="774">
        <f>SUM(BJ17:BJ42)</f>
        <v>0</v>
      </c>
      <c r="BK45" s="774">
        <f>SUM(BK17:BK42)</f>
        <v>0</v>
      </c>
      <c r="BL45" s="774" t="e">
        <f>SUM(BL17:BL42)</f>
        <v>#REF!</v>
      </c>
    </row>
    <row r="46" spans="1:66" s="773" customFormat="1" ht="9.75" customHeight="1">
      <c r="A46" s="878"/>
      <c r="B46" s="878"/>
      <c r="C46" s="878"/>
      <c r="D46" s="878"/>
      <c r="E46" s="879"/>
      <c r="F46" s="878"/>
      <c r="G46" s="879"/>
      <c r="H46" s="879"/>
      <c r="I46" s="880"/>
      <c r="J46" s="878"/>
      <c r="K46" s="878"/>
      <c r="L46" s="881"/>
      <c r="M46" s="881"/>
      <c r="N46" s="882"/>
      <c r="O46" s="882"/>
      <c r="P46" s="882"/>
      <c r="Q46" s="882"/>
      <c r="R46" s="882"/>
      <c r="S46" s="882"/>
      <c r="T46" s="883"/>
      <c r="U46" s="882"/>
      <c r="V46" s="776"/>
      <c r="W46" s="776"/>
      <c r="X46" s="776"/>
      <c r="Y46" s="776"/>
      <c r="Z46" s="776"/>
      <c r="AA46" s="776"/>
      <c r="AB46" s="776"/>
      <c r="AC46" s="776"/>
      <c r="AD46" s="776"/>
      <c r="AE46" s="776"/>
      <c r="AF46" s="776"/>
      <c r="AG46" s="776"/>
      <c r="AH46" s="776"/>
      <c r="AI46" s="776"/>
      <c r="AJ46" s="776"/>
      <c r="AK46" s="776"/>
      <c r="AL46" s="776"/>
      <c r="AM46" s="776"/>
      <c r="AN46" s="776"/>
      <c r="AO46" s="776"/>
      <c r="AP46" s="776"/>
      <c r="AQ46" s="776"/>
      <c r="AR46" s="776"/>
      <c r="AS46" s="776"/>
      <c r="AT46" s="776"/>
      <c r="AU46" s="776"/>
      <c r="AV46" s="776"/>
      <c r="AW46" s="776"/>
      <c r="AX46" s="776"/>
      <c r="AY46" s="776"/>
      <c r="AZ46" s="776"/>
      <c r="BA46" s="776"/>
      <c r="BB46" s="776"/>
      <c r="BC46" s="776"/>
      <c r="BD46" s="776"/>
      <c r="BE46" s="776"/>
      <c r="BF46" s="776"/>
      <c r="BG46" s="776"/>
      <c r="BH46" s="772"/>
      <c r="BI46" s="772"/>
      <c r="BJ46" s="772"/>
      <c r="BK46" s="772"/>
      <c r="BL46" s="772"/>
      <c r="BM46" s="780"/>
    </row>
    <row r="47" spans="1:66" s="773" customFormat="1" ht="13.5" customHeight="1">
      <c r="A47" s="772"/>
      <c r="B47" s="772"/>
      <c r="C47" s="772"/>
      <c r="D47" s="762" t="s">
        <v>303</v>
      </c>
      <c r="F47" s="762"/>
      <c r="G47" s="781"/>
      <c r="H47" s="781"/>
      <c r="I47" s="781"/>
      <c r="J47" s="762" t="s">
        <v>603</v>
      </c>
      <c r="K47" s="761"/>
      <c r="L47" s="782"/>
      <c r="M47" s="782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6"/>
      <c r="Z47" s="776"/>
      <c r="AA47" s="776"/>
      <c r="AB47" s="776"/>
      <c r="AC47" s="776"/>
      <c r="AD47" s="776"/>
      <c r="AE47" s="776"/>
      <c r="AF47" s="776"/>
      <c r="AG47" s="776"/>
      <c r="AH47" s="776"/>
      <c r="AI47" s="776"/>
      <c r="AJ47" s="776"/>
      <c r="AK47" s="776"/>
      <c r="AL47" s="776"/>
      <c r="AM47" s="776"/>
      <c r="AN47" s="776"/>
      <c r="AO47" s="776"/>
      <c r="AP47" s="776"/>
      <c r="AQ47" s="776"/>
      <c r="AR47" s="776"/>
      <c r="AS47" s="776"/>
      <c r="AT47" s="776"/>
      <c r="AU47" s="776"/>
      <c r="AV47" s="776"/>
      <c r="AW47" s="776"/>
      <c r="AX47" s="776"/>
      <c r="AY47" s="776"/>
      <c r="AZ47" s="776"/>
      <c r="BA47" s="776"/>
      <c r="BB47" s="776"/>
      <c r="BC47" s="776"/>
      <c r="BD47" s="776"/>
      <c r="BE47" s="776"/>
      <c r="BF47" s="776"/>
      <c r="BG47" s="776"/>
      <c r="BI47" s="772"/>
      <c r="BJ47" s="772"/>
      <c r="BK47" s="772"/>
      <c r="BL47" s="772"/>
      <c r="BM47" s="772"/>
      <c r="BN47" s="772"/>
    </row>
    <row r="48" spans="1:66" s="773" customFormat="1" ht="7.5" customHeight="1">
      <c r="A48" s="772"/>
      <c r="B48" s="772"/>
      <c r="C48" s="772"/>
      <c r="D48" s="762"/>
      <c r="F48" s="762"/>
      <c r="G48" s="781"/>
      <c r="H48" s="781"/>
      <c r="I48" s="781"/>
      <c r="J48" s="762"/>
      <c r="K48" s="762"/>
      <c r="L48" s="782"/>
      <c r="M48" s="782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776"/>
      <c r="AE48" s="776"/>
      <c r="AF48" s="776"/>
      <c r="AG48" s="776"/>
      <c r="AH48" s="776"/>
      <c r="AI48" s="776"/>
      <c r="AJ48" s="776"/>
      <c r="AK48" s="776"/>
      <c r="AL48" s="776"/>
      <c r="AM48" s="776"/>
      <c r="AN48" s="776"/>
      <c r="AO48" s="776"/>
      <c r="AP48" s="776"/>
      <c r="AQ48" s="776"/>
      <c r="AR48" s="776"/>
      <c r="AS48" s="776"/>
      <c r="AT48" s="776"/>
      <c r="AU48" s="776"/>
      <c r="AV48" s="776"/>
      <c r="AW48" s="776"/>
      <c r="AX48" s="776"/>
      <c r="AY48" s="776"/>
      <c r="AZ48" s="776"/>
      <c r="BA48" s="776"/>
      <c r="BB48" s="776"/>
      <c r="BC48" s="776"/>
      <c r="BD48" s="776"/>
      <c r="BE48" s="776"/>
      <c r="BF48" s="776"/>
      <c r="BG48" s="776"/>
      <c r="BI48" s="772"/>
      <c r="BJ48" s="772"/>
      <c r="BK48" s="772"/>
      <c r="BL48" s="772"/>
      <c r="BM48" s="772"/>
      <c r="BN48" s="772"/>
    </row>
    <row r="49" spans="1:66" s="773" customFormat="1" ht="13.5" customHeight="1">
      <c r="A49" s="772"/>
      <c r="B49" s="772"/>
      <c r="C49" s="772"/>
      <c r="D49" s="762" t="s">
        <v>474</v>
      </c>
      <c r="F49" s="762"/>
      <c r="G49" s="781"/>
      <c r="H49" s="781"/>
      <c r="I49" s="781"/>
      <c r="J49" s="762" t="s">
        <v>595</v>
      </c>
      <c r="K49" s="762"/>
      <c r="L49" s="782"/>
      <c r="M49" s="782"/>
      <c r="O49" s="772"/>
      <c r="P49" s="775"/>
      <c r="Q49" s="775"/>
      <c r="R49" s="778"/>
      <c r="U49" s="778"/>
      <c r="V49" s="783"/>
      <c r="Z49" s="772"/>
      <c r="AA49" s="772"/>
      <c r="AC49" s="772"/>
      <c r="AD49" s="772"/>
      <c r="AE49" s="772"/>
      <c r="AF49" s="772"/>
      <c r="AG49" s="772"/>
      <c r="AI49" s="772"/>
      <c r="AJ49" s="772"/>
      <c r="AK49" s="772"/>
      <c r="AL49" s="772"/>
      <c r="AM49" s="772"/>
      <c r="AN49" s="772"/>
      <c r="AO49" s="772"/>
      <c r="AP49" s="772"/>
      <c r="AQ49" s="772"/>
      <c r="AR49" s="772"/>
      <c r="AS49" s="772"/>
      <c r="AT49" s="772"/>
      <c r="AU49" s="772"/>
      <c r="AV49" s="772"/>
      <c r="AW49" s="772"/>
      <c r="AX49" s="772"/>
      <c r="AY49" s="772"/>
      <c r="AZ49" s="772"/>
      <c r="BA49" s="772"/>
      <c r="BB49" s="772"/>
      <c r="BC49" s="772"/>
      <c r="BD49" s="772"/>
      <c r="BE49" s="772"/>
      <c r="BF49" s="772"/>
      <c r="BG49" s="775"/>
      <c r="BI49" s="772"/>
      <c r="BJ49" s="772"/>
      <c r="BK49" s="772"/>
      <c r="BL49" s="772"/>
      <c r="BM49" s="772"/>
      <c r="BN49" s="772"/>
    </row>
    <row r="50" spans="1:66" s="773" customFormat="1" ht="4.5" customHeight="1">
      <c r="A50" s="772"/>
      <c r="B50" s="772"/>
      <c r="C50" s="772"/>
      <c r="D50" s="762"/>
      <c r="F50" s="762"/>
      <c r="G50" s="781"/>
      <c r="H50" s="781"/>
      <c r="I50" s="781"/>
      <c r="J50" s="762"/>
      <c r="K50" s="762"/>
      <c r="L50" s="784"/>
      <c r="M50" s="784"/>
      <c r="O50" s="772"/>
      <c r="P50" s="775"/>
      <c r="Q50" s="775"/>
      <c r="R50" s="778"/>
      <c r="U50" s="778"/>
      <c r="V50" s="783"/>
      <c r="Z50" s="772"/>
      <c r="AA50" s="772"/>
      <c r="AC50" s="772"/>
      <c r="AD50" s="772"/>
      <c r="AE50" s="772"/>
      <c r="AF50" s="772"/>
      <c r="AG50" s="772"/>
      <c r="AI50" s="772"/>
      <c r="AJ50" s="772"/>
      <c r="AK50" s="772"/>
      <c r="AL50" s="772"/>
      <c r="AM50" s="772"/>
      <c r="AN50" s="772"/>
      <c r="AO50" s="772"/>
      <c r="AP50" s="772"/>
      <c r="AQ50" s="772"/>
      <c r="AR50" s="772"/>
      <c r="AS50" s="772"/>
      <c r="AT50" s="772"/>
      <c r="AU50" s="772"/>
      <c r="AV50" s="772"/>
      <c r="AW50" s="772"/>
      <c r="AX50" s="772"/>
      <c r="AY50" s="772"/>
      <c r="AZ50" s="772"/>
      <c r="BA50" s="772"/>
      <c r="BB50" s="772"/>
      <c r="BC50" s="772"/>
      <c r="BD50" s="772"/>
      <c r="BE50" s="772"/>
      <c r="BF50" s="772"/>
      <c r="BG50" s="775"/>
      <c r="BI50" s="772"/>
      <c r="BJ50" s="772"/>
      <c r="BK50" s="772"/>
      <c r="BL50" s="772"/>
      <c r="BM50" s="772"/>
      <c r="BN50" s="772"/>
    </row>
    <row r="51" spans="1:66" s="773" customFormat="1" ht="13.5" customHeight="1">
      <c r="C51" s="772"/>
      <c r="D51" s="761" t="s">
        <v>572</v>
      </c>
      <c r="E51" s="772"/>
      <c r="F51" s="761"/>
      <c r="G51" s="785"/>
      <c r="H51" s="785"/>
      <c r="I51" s="761"/>
      <c r="J51" s="761" t="s">
        <v>610</v>
      </c>
      <c r="K51" s="786" t="s">
        <v>610</v>
      </c>
      <c r="R51" s="787"/>
      <c r="U51" s="783"/>
      <c r="V51" s="783"/>
      <c r="AD51" s="778"/>
      <c r="AU51" s="1328"/>
      <c r="AV51" s="1328"/>
      <c r="AW51" s="1328"/>
      <c r="AX51" s="1328"/>
      <c r="AY51" s="1328"/>
      <c r="AZ51" s="1328"/>
      <c r="BA51" s="1328"/>
      <c r="BB51" s="788"/>
      <c r="BI51" s="772"/>
      <c r="BJ51" s="772"/>
      <c r="BK51" s="772"/>
      <c r="BL51" s="772"/>
      <c r="BM51" s="772"/>
      <c r="BN51" s="772"/>
    </row>
    <row r="52" spans="1:66" s="773" customFormat="1" ht="13.5" customHeight="1">
      <c r="A52" s="814"/>
      <c r="B52" s="814"/>
      <c r="C52" s="878"/>
      <c r="D52" s="878"/>
      <c r="E52" s="879"/>
      <c r="F52" s="878"/>
      <c r="G52" s="879"/>
      <c r="H52" s="879"/>
      <c r="I52" s="879"/>
      <c r="J52" s="878"/>
      <c r="K52" s="878"/>
      <c r="L52" s="878"/>
      <c r="M52" s="878"/>
      <c r="N52" s="814"/>
      <c r="O52" s="814"/>
      <c r="P52" s="814"/>
      <c r="Q52" s="814"/>
      <c r="R52" s="885"/>
      <c r="S52" s="814"/>
      <c r="T52" s="814"/>
      <c r="U52" s="886"/>
      <c r="V52" s="783"/>
      <c r="AD52" s="789"/>
      <c r="AT52" s="1328"/>
      <c r="AU52" s="1328"/>
      <c r="AV52" s="1328"/>
      <c r="AW52" s="1328"/>
      <c r="AX52" s="1328"/>
      <c r="AY52" s="1328"/>
      <c r="AZ52" s="1328"/>
      <c r="BA52" s="1328"/>
      <c r="BI52" s="772"/>
      <c r="BJ52" s="772"/>
      <c r="BK52" s="772"/>
      <c r="BL52" s="772"/>
      <c r="BM52" s="772"/>
      <c r="BN52" s="772"/>
    </row>
    <row r="53" spans="1:66" s="773" customFormat="1" ht="13.5" customHeight="1">
      <c r="A53" s="814"/>
      <c r="B53" s="814"/>
      <c r="C53" s="814"/>
      <c r="D53" s="814"/>
      <c r="E53" s="886"/>
      <c r="F53" s="814"/>
      <c r="G53" s="886"/>
      <c r="H53" s="886"/>
      <c r="I53" s="886"/>
      <c r="J53" s="814"/>
      <c r="K53" s="814"/>
      <c r="L53" s="814"/>
      <c r="M53" s="814"/>
      <c r="N53" s="814"/>
      <c r="O53" s="814"/>
      <c r="P53" s="814"/>
      <c r="Q53" s="814"/>
      <c r="R53" s="885" t="s">
        <v>419</v>
      </c>
      <c r="S53" s="887"/>
      <c r="T53" s="884"/>
      <c r="U53" s="880"/>
      <c r="AB53" s="788"/>
      <c r="AC53" s="788"/>
      <c r="AD53" s="772"/>
      <c r="AE53" s="788"/>
      <c r="AF53" s="788"/>
      <c r="AG53" s="788"/>
      <c r="AH53" s="788"/>
      <c r="AI53" s="788"/>
      <c r="AJ53" s="788"/>
      <c r="AK53" s="788"/>
      <c r="AL53" s="788"/>
      <c r="AM53" s="788"/>
      <c r="AN53" s="788"/>
      <c r="AO53" s="788"/>
      <c r="AP53" s="788"/>
      <c r="AQ53" s="788"/>
      <c r="AR53" s="788"/>
      <c r="AS53" s="788"/>
      <c r="AT53" s="1328"/>
      <c r="AU53" s="1328"/>
      <c r="AV53" s="1328"/>
      <c r="AW53" s="1328"/>
      <c r="AX53" s="1328"/>
      <c r="AY53" s="1328"/>
      <c r="AZ53" s="1328"/>
      <c r="BA53" s="1328"/>
      <c r="BB53" s="788"/>
      <c r="BC53" s="788"/>
      <c r="BD53" s="788"/>
      <c r="BE53" s="788"/>
      <c r="BF53" s="788"/>
      <c r="BI53" s="772"/>
      <c r="BJ53" s="772"/>
      <c r="BK53" s="772"/>
      <c r="BL53" s="772"/>
      <c r="BM53" s="772"/>
      <c r="BN53" s="772"/>
    </row>
    <row r="54" spans="1:66" s="751" customFormat="1" ht="10.35" customHeight="1">
      <c r="A54" s="888"/>
      <c r="B54" s="888"/>
      <c r="C54" s="888"/>
      <c r="D54" s="888"/>
      <c r="E54" s="889"/>
      <c r="F54" s="888"/>
      <c r="G54" s="889"/>
      <c r="H54" s="889"/>
      <c r="I54" s="889"/>
      <c r="J54" s="888"/>
      <c r="K54" s="888"/>
      <c r="L54" s="888"/>
      <c r="M54" s="888"/>
      <c r="N54" s="888"/>
      <c r="O54" s="888"/>
      <c r="P54" s="888"/>
      <c r="Q54" s="888"/>
      <c r="R54" s="889"/>
      <c r="S54" s="888"/>
      <c r="T54" s="890"/>
      <c r="U54" s="891"/>
      <c r="AD54" s="750"/>
      <c r="BI54" s="750"/>
      <c r="BJ54" s="750"/>
      <c r="BK54" s="750"/>
      <c r="BL54" s="750"/>
      <c r="BM54" s="750"/>
      <c r="BN54" s="750"/>
    </row>
    <row r="55" spans="1:66" s="751" customFormat="1" ht="10.35" customHeight="1">
      <c r="A55" s="888"/>
      <c r="B55" s="888"/>
      <c r="C55" s="888"/>
      <c r="D55" s="888"/>
      <c r="E55" s="889"/>
      <c r="F55" s="888"/>
      <c r="G55" s="889"/>
      <c r="H55" s="889"/>
      <c r="I55" s="889"/>
      <c r="J55" s="888"/>
      <c r="K55" s="888"/>
      <c r="L55" s="888"/>
      <c r="M55" s="888"/>
      <c r="N55" s="888"/>
      <c r="O55" s="888"/>
      <c r="P55" s="888"/>
      <c r="Q55" s="888"/>
      <c r="R55" s="889"/>
      <c r="S55" s="892"/>
      <c r="T55" s="890"/>
      <c r="U55" s="891"/>
      <c r="V55" s="750"/>
      <c r="W55" s="750"/>
      <c r="AD55" s="750"/>
      <c r="BI55" s="750"/>
      <c r="BJ55" s="750"/>
      <c r="BK55" s="750"/>
      <c r="BL55" s="750"/>
      <c r="BM55" s="750"/>
      <c r="BN55" s="750"/>
    </row>
    <row r="56" spans="1:66" s="751" customFormat="1" ht="10.35" customHeight="1">
      <c r="E56" s="746"/>
      <c r="G56" s="746"/>
      <c r="H56" s="746"/>
      <c r="I56" s="746"/>
      <c r="R56" s="746"/>
      <c r="T56" s="750"/>
      <c r="U56" s="754"/>
      <c r="V56" s="750"/>
      <c r="W56" s="750"/>
      <c r="AD56" s="752"/>
      <c r="BI56" s="750"/>
      <c r="BJ56" s="750"/>
      <c r="BK56" s="750"/>
      <c r="BL56" s="750"/>
      <c r="BM56" s="750"/>
      <c r="BN56" s="750"/>
    </row>
    <row r="57" spans="1:66" s="751" customFormat="1" ht="10.35" customHeight="1">
      <c r="E57" s="746"/>
      <c r="G57" s="746"/>
      <c r="H57" s="746"/>
      <c r="I57" s="746"/>
      <c r="R57" s="746"/>
      <c r="T57" s="750"/>
      <c r="U57" s="754"/>
      <c r="V57" s="750"/>
      <c r="W57" s="750"/>
      <c r="AD57" s="752"/>
    </row>
    <row r="58" spans="1:66" s="751" customFormat="1" ht="10.35" customHeight="1">
      <c r="E58" s="746"/>
      <c r="G58" s="746"/>
      <c r="H58" s="746"/>
      <c r="I58" s="746"/>
      <c r="R58" s="746"/>
      <c r="T58" s="750"/>
      <c r="U58" s="754"/>
      <c r="V58" s="750"/>
      <c r="W58" s="750"/>
      <c r="AD58" s="752"/>
    </row>
    <row r="59" spans="1:66" s="751" customFormat="1" ht="10.35" customHeight="1">
      <c r="E59" s="746"/>
      <c r="G59" s="746"/>
      <c r="H59" s="746"/>
      <c r="I59" s="746"/>
      <c r="R59" s="746"/>
      <c r="T59" s="750"/>
      <c r="U59" s="754"/>
      <c r="V59" s="750"/>
      <c r="W59" s="750"/>
      <c r="AD59" s="752"/>
    </row>
    <row r="60" spans="1:66" s="751" customFormat="1" ht="15.75">
      <c r="E60" s="746"/>
      <c r="G60" s="746"/>
      <c r="H60" s="746"/>
      <c r="I60" s="746"/>
      <c r="R60" s="746"/>
      <c r="T60" s="750"/>
      <c r="U60" s="754"/>
      <c r="V60" s="750"/>
      <c r="W60" s="750"/>
      <c r="AD60" s="752"/>
    </row>
    <row r="61" spans="1:66" s="751" customFormat="1" ht="15.75">
      <c r="E61" s="746"/>
      <c r="G61" s="746"/>
      <c r="H61" s="746"/>
      <c r="I61" s="746"/>
      <c r="R61" s="746"/>
      <c r="T61" s="750"/>
      <c r="U61" s="754"/>
      <c r="V61" s="750"/>
      <c r="W61" s="750"/>
      <c r="AD61" s="752"/>
    </row>
    <row r="62" spans="1:66" s="751" customFormat="1" ht="15.75">
      <c r="E62" s="746"/>
      <c r="G62" s="746"/>
      <c r="H62" s="746"/>
      <c r="I62" s="746"/>
      <c r="R62" s="746"/>
      <c r="T62" s="750"/>
      <c r="U62" s="754"/>
      <c r="V62" s="750"/>
      <c r="W62" s="750"/>
      <c r="AD62" s="752"/>
    </row>
    <row r="63" spans="1:66" s="751" customFormat="1" ht="15.75">
      <c r="E63" s="746"/>
      <c r="G63" s="746"/>
      <c r="H63" s="746"/>
      <c r="I63" s="746"/>
      <c r="R63" s="746"/>
      <c r="T63" s="750"/>
      <c r="U63" s="754"/>
      <c r="V63" s="750"/>
      <c r="W63" s="750"/>
      <c r="AD63" s="752"/>
    </row>
    <row r="64" spans="1:66" s="751" customFormat="1" ht="15.75">
      <c r="E64" s="746"/>
      <c r="G64" s="746"/>
      <c r="H64" s="746"/>
      <c r="I64" s="746"/>
      <c r="R64" s="746"/>
      <c r="T64" s="750"/>
      <c r="U64" s="754"/>
      <c r="V64" s="750"/>
      <c r="W64" s="750"/>
      <c r="AD64" s="752"/>
    </row>
    <row r="65" spans="5:45" s="751" customFormat="1" ht="15.75">
      <c r="E65" s="746"/>
      <c r="G65" s="746"/>
      <c r="H65" s="746"/>
      <c r="I65" s="746"/>
      <c r="R65" s="746"/>
      <c r="T65" s="750"/>
      <c r="U65" s="754"/>
      <c r="V65" s="750"/>
      <c r="W65" s="750"/>
      <c r="AD65" s="752"/>
    </row>
    <row r="66" spans="5:45" s="751" customFormat="1" ht="15.75">
      <c r="E66" s="746"/>
      <c r="G66" s="746"/>
      <c r="H66" s="746"/>
      <c r="I66" s="746"/>
      <c r="R66" s="746"/>
      <c r="T66" s="750"/>
      <c r="U66" s="754"/>
      <c r="V66" s="750"/>
      <c r="W66" s="750"/>
      <c r="AD66" s="752"/>
    </row>
    <row r="67" spans="5:45" s="751" customFormat="1" ht="15.75">
      <c r="E67" s="746"/>
      <c r="G67" s="746"/>
      <c r="H67" s="746"/>
      <c r="I67" s="746"/>
      <c r="R67" s="746"/>
      <c r="T67" s="750"/>
      <c r="U67" s="754"/>
      <c r="V67" s="750"/>
      <c r="W67" s="750"/>
      <c r="AD67" s="752"/>
    </row>
    <row r="68" spans="5:45" s="751" customFormat="1" ht="15.75">
      <c r="E68" s="746"/>
      <c r="G68" s="746"/>
      <c r="H68" s="746"/>
      <c r="I68" s="746"/>
      <c r="R68" s="746"/>
      <c r="T68" s="750"/>
      <c r="U68" s="754"/>
      <c r="V68" s="750"/>
      <c r="W68" s="750"/>
      <c r="AD68" s="752"/>
    </row>
    <row r="69" spans="5:45" s="751" customFormat="1" ht="15.75">
      <c r="E69" s="746"/>
      <c r="G69" s="746"/>
      <c r="H69" s="746"/>
      <c r="I69" s="746"/>
      <c r="R69" s="746"/>
      <c r="T69" s="750"/>
      <c r="U69" s="754"/>
      <c r="V69" s="750"/>
      <c r="W69" s="750"/>
      <c r="AD69" s="752"/>
    </row>
    <row r="70" spans="5:45" s="751" customFormat="1" ht="15.75">
      <c r="E70" s="746"/>
      <c r="G70" s="746"/>
      <c r="H70" s="746"/>
      <c r="I70" s="746"/>
      <c r="R70" s="746"/>
      <c r="T70" s="750"/>
      <c r="U70" s="754"/>
      <c r="V70" s="750"/>
      <c r="W70" s="750"/>
      <c r="AD70" s="752"/>
    </row>
    <row r="71" spans="5:45" s="751" customFormat="1" ht="15.75">
      <c r="E71" s="746"/>
      <c r="G71" s="746"/>
      <c r="H71" s="746"/>
      <c r="I71" s="746"/>
      <c r="R71" s="746"/>
      <c r="T71" s="750"/>
      <c r="U71" s="754"/>
      <c r="V71" s="750"/>
      <c r="W71" s="750"/>
      <c r="AD71" s="752"/>
    </row>
    <row r="72" spans="5:45" s="751" customFormat="1" ht="15.75">
      <c r="E72" s="746"/>
      <c r="G72" s="746"/>
      <c r="H72" s="746"/>
      <c r="I72" s="746"/>
      <c r="R72" s="746"/>
      <c r="T72" s="750"/>
      <c r="U72" s="754"/>
      <c r="V72" s="750"/>
      <c r="W72" s="750"/>
      <c r="AD72" s="752"/>
    </row>
    <row r="73" spans="5:45" s="745" customFormat="1" ht="15.75">
      <c r="E73" s="746"/>
      <c r="G73" s="755"/>
      <c r="H73" s="755"/>
      <c r="I73" s="755"/>
      <c r="R73" s="755"/>
      <c r="T73" s="747"/>
      <c r="U73" s="756"/>
      <c r="V73" s="747"/>
      <c r="W73" s="747"/>
      <c r="AD73" s="753"/>
    </row>
    <row r="74" spans="5:45" s="745" customFormat="1" ht="15.75">
      <c r="E74" s="746"/>
      <c r="G74" s="755"/>
      <c r="H74" s="755"/>
      <c r="I74" s="755"/>
      <c r="R74" s="755"/>
      <c r="T74" s="747"/>
      <c r="U74" s="756"/>
      <c r="V74" s="747"/>
      <c r="W74" s="747"/>
      <c r="AD74" s="753"/>
    </row>
    <row r="75" spans="5:45" s="745" customFormat="1" ht="15.75">
      <c r="E75" s="746"/>
      <c r="G75" s="755"/>
      <c r="H75" s="755"/>
      <c r="I75" s="755"/>
      <c r="R75" s="755"/>
      <c r="U75" s="755"/>
      <c r="AD75" s="753"/>
    </row>
    <row r="76" spans="5:45" s="745" customFormat="1" ht="15.75">
      <c r="E76" s="746"/>
      <c r="G76" s="755"/>
      <c r="H76" s="755"/>
      <c r="I76" s="755"/>
      <c r="R76" s="755"/>
      <c r="U76" s="755"/>
      <c r="AD76" s="753"/>
    </row>
    <row r="77" spans="5:45" s="745" customFormat="1" ht="15.75">
      <c r="E77" s="746"/>
      <c r="G77" s="755"/>
      <c r="H77" s="755"/>
      <c r="I77" s="755"/>
      <c r="R77" s="755"/>
      <c r="U77" s="755"/>
      <c r="AD77" s="753"/>
    </row>
    <row r="78" spans="5:45" s="745" customFormat="1" ht="15.75">
      <c r="E78" s="746"/>
      <c r="G78" s="755"/>
      <c r="H78" s="755"/>
      <c r="I78" s="755"/>
      <c r="R78" s="755"/>
      <c r="U78" s="755"/>
      <c r="AD78" s="753"/>
      <c r="AN78" s="758"/>
      <c r="AO78" s="758"/>
      <c r="AP78" s="758"/>
      <c r="AQ78" s="758"/>
      <c r="AR78" s="758"/>
      <c r="AS78" s="758"/>
    </row>
    <row r="79" spans="5:45" s="745" customFormat="1" ht="15.75">
      <c r="E79" s="746"/>
      <c r="G79" s="755"/>
      <c r="H79" s="755"/>
      <c r="I79" s="755"/>
      <c r="R79" s="755"/>
      <c r="U79" s="755"/>
      <c r="AD79" s="753"/>
      <c r="AN79" s="758"/>
      <c r="AO79" s="758"/>
      <c r="AP79" s="758"/>
      <c r="AQ79" s="758"/>
      <c r="AR79" s="758"/>
      <c r="AS79" s="758"/>
    </row>
    <row r="80" spans="5:45" s="327" customFormat="1" ht="12.75">
      <c r="E80" s="719"/>
      <c r="G80" s="759"/>
      <c r="H80" s="759"/>
      <c r="I80" s="759"/>
      <c r="R80" s="759"/>
      <c r="U80" s="759"/>
      <c r="AD80" s="690"/>
      <c r="AN80" s="701"/>
      <c r="AO80" s="701"/>
      <c r="AP80" s="701"/>
      <c r="AQ80" s="701"/>
      <c r="AR80" s="701"/>
      <c r="AS80" s="701"/>
    </row>
    <row r="81" spans="5:58" s="327" customFormat="1" ht="12.75">
      <c r="E81" s="719"/>
      <c r="G81" s="759"/>
      <c r="H81" s="759"/>
      <c r="I81" s="759"/>
      <c r="R81" s="759"/>
      <c r="U81" s="759"/>
      <c r="AD81" s="690"/>
      <c r="AN81" s="701"/>
      <c r="AO81" s="701"/>
      <c r="AP81" s="701"/>
      <c r="AQ81" s="701"/>
      <c r="AR81" s="701"/>
      <c r="AS81" s="701"/>
    </row>
    <row r="82" spans="5:58" ht="12.75">
      <c r="AD82" s="689"/>
      <c r="BF82" s="326"/>
    </row>
    <row r="83" spans="5:58" ht="12.75">
      <c r="AD83" s="689"/>
      <c r="BF83" s="326"/>
    </row>
    <row r="84" spans="5:58" ht="12.75">
      <c r="AD84" s="689"/>
      <c r="BF84" s="326"/>
    </row>
    <row r="85" spans="5:58" ht="12.75">
      <c r="AD85" s="689"/>
    </row>
    <row r="86" spans="5:58" ht="12.75">
      <c r="AD86" s="689"/>
    </row>
    <row r="87" spans="5:58" ht="12.75">
      <c r="AD87" s="689"/>
    </row>
    <row r="88" spans="5:58" ht="12.75">
      <c r="AD88" s="690"/>
    </row>
    <row r="89" spans="5:58" ht="12.75">
      <c r="AD89" s="689"/>
    </row>
  </sheetData>
  <mergeCells count="56">
    <mergeCell ref="BD14:BD16"/>
    <mergeCell ref="AT52:BA52"/>
    <mergeCell ref="AT53:BA53"/>
    <mergeCell ref="AP15:AQ15"/>
    <mergeCell ref="AR15:AS15"/>
    <mergeCell ref="AT15:AU15"/>
    <mergeCell ref="AV15:AW15"/>
    <mergeCell ref="AX15:AY15"/>
    <mergeCell ref="AU51:BA51"/>
    <mergeCell ref="BL14:BL16"/>
    <mergeCell ref="N15:N16"/>
    <mergeCell ref="O15:O16"/>
    <mergeCell ref="P15:P16"/>
    <mergeCell ref="R15:R16"/>
    <mergeCell ref="S15:S16"/>
    <mergeCell ref="T15:T16"/>
    <mergeCell ref="AB15:AC15"/>
    <mergeCell ref="AD15:AE15"/>
    <mergeCell ref="AF15:AG15"/>
    <mergeCell ref="AZ14:AZ16"/>
    <mergeCell ref="BA14:BA16"/>
    <mergeCell ref="BB14:BB16"/>
    <mergeCell ref="BC14:BC16"/>
    <mergeCell ref="BE14:BE16"/>
    <mergeCell ref="BF14:BF16"/>
    <mergeCell ref="N14:P14"/>
    <mergeCell ref="AT14:AY14"/>
    <mergeCell ref="AH15:AI15"/>
    <mergeCell ref="AJ15:AK15"/>
    <mergeCell ref="AL15:AM15"/>
    <mergeCell ref="AN15:AO15"/>
    <mergeCell ref="U14:U16"/>
    <mergeCell ref="V14:Y14"/>
    <mergeCell ref="AB14:AG14"/>
    <mergeCell ref="AH14:AM14"/>
    <mergeCell ref="AN14:AS14"/>
    <mergeCell ref="B14:B15"/>
    <mergeCell ref="C14:C16"/>
    <mergeCell ref="D14:D16"/>
    <mergeCell ref="E14:E16"/>
    <mergeCell ref="F14:F16"/>
    <mergeCell ref="C3:AJ3"/>
    <mergeCell ref="AT3:AX3"/>
    <mergeCell ref="AT4:AX4"/>
    <mergeCell ref="C5:L5"/>
    <mergeCell ref="AT5:AX5"/>
    <mergeCell ref="AT6:AX6"/>
    <mergeCell ref="R14:T14"/>
    <mergeCell ref="AT7:AX7"/>
    <mergeCell ref="AT8:AX8"/>
    <mergeCell ref="AT9:AX9"/>
    <mergeCell ref="AT12:AX12"/>
    <mergeCell ref="G14:G16"/>
    <mergeCell ref="H14:H16"/>
    <mergeCell ref="I14:I16"/>
    <mergeCell ref="L14:L16"/>
  </mergeCells>
  <pageMargins left="0.19685039370078741" right="0" top="1.3779527559055118" bottom="0" header="1.3779527559055118" footer="0"/>
  <pageSetup paperSize="9" scale="65" fitToWidth="2" fitToHeight="2" orientation="landscape" r:id="rId1"/>
  <colBreaks count="1" manualBreakCount="1">
    <brk id="27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topLeftCell="A34" zoomScale="80" zoomScaleNormal="70" zoomScaleSheetLayoutView="80" workbookViewId="0">
      <selection activeCell="J46" sqref="J46"/>
    </sheetView>
  </sheetViews>
  <sheetFormatPr defaultColWidth="8.85546875" defaultRowHeight="9.75"/>
  <cols>
    <col min="1" max="1" width="4.5703125" style="326" customWidth="1"/>
    <col min="2" max="2" width="22.28515625" style="326" customWidth="1"/>
    <col min="3" max="3" width="14" style="326" customWidth="1"/>
    <col min="4" max="4" width="7.42578125" style="326" customWidth="1"/>
    <col min="5" max="5" width="10.5703125" style="699" customWidth="1"/>
    <col min="6" max="6" width="9.28515625" style="326" customWidth="1"/>
    <col min="7" max="8" width="8.140625" style="760" customWidth="1"/>
    <col min="9" max="9" width="11.140625" style="760" customWidth="1"/>
    <col min="10" max="10" width="4.28515625" style="326" customWidth="1"/>
    <col min="11" max="11" width="3.85546875" style="326" hidden="1" customWidth="1"/>
    <col min="12" max="13" width="7.5703125" style="326" customWidth="1"/>
    <col min="14" max="14" width="5.140625" style="326" customWidth="1"/>
    <col min="15" max="15" width="6.140625" style="326" customWidth="1"/>
    <col min="16" max="16" width="8.28515625" style="326" customWidth="1"/>
    <col min="17" max="17" width="6.28515625" style="326" customWidth="1"/>
    <col min="18" max="18" width="11" style="760" customWidth="1"/>
    <col min="19" max="19" width="9.85546875" style="326" customWidth="1"/>
    <col min="20" max="20" width="11.85546875" style="326" customWidth="1"/>
    <col min="21" max="21" width="12" style="760" customWidth="1"/>
    <col min="22" max="22" width="5.85546875" style="326" hidden="1" customWidth="1"/>
    <col min="23" max="26" width="6.140625" style="326" hidden="1" customWidth="1"/>
    <col min="27" max="27" width="4.140625" style="326" hidden="1" customWidth="1"/>
    <col min="28" max="28" width="5.140625" style="326" customWidth="1"/>
    <col min="29" max="29" width="6.7109375" style="326" customWidth="1"/>
    <col min="30" max="30" width="5.5703125" style="326" customWidth="1"/>
    <col min="31" max="31" width="6.42578125" style="326" customWidth="1"/>
    <col min="32" max="32" width="5.5703125" style="326" customWidth="1"/>
    <col min="33" max="33" width="6.7109375" style="326" customWidth="1"/>
    <col min="34" max="34" width="8.7109375" style="326" customWidth="1"/>
    <col min="35" max="35" width="8.5703125" style="326" customWidth="1"/>
    <col min="36" max="36" width="7.28515625" style="326" customWidth="1"/>
    <col min="37" max="37" width="6.140625" style="326" customWidth="1"/>
    <col min="38" max="38" width="6.7109375" style="326" customWidth="1"/>
    <col min="39" max="39" width="7.5703125" style="326" customWidth="1"/>
    <col min="40" max="41" width="4.85546875" style="700" hidden="1" customWidth="1"/>
    <col min="42" max="42" width="4.7109375" style="700" hidden="1" customWidth="1"/>
    <col min="43" max="43" width="5.140625" style="700" hidden="1" customWidth="1"/>
    <col min="44" max="44" width="4.5703125" style="700" hidden="1" customWidth="1"/>
    <col min="45" max="45" width="4.85546875" style="700" hidden="1" customWidth="1"/>
    <col min="46" max="46" width="6.28515625" style="326" customWidth="1"/>
    <col min="47" max="47" width="6.7109375" style="326" customWidth="1"/>
    <col min="48" max="48" width="8.28515625" style="326" customWidth="1"/>
    <col min="49" max="50" width="6.28515625" style="326" customWidth="1"/>
    <col min="51" max="51" width="7.42578125" style="326" customWidth="1"/>
    <col min="52" max="52" width="8.140625" style="326" customWidth="1"/>
    <col min="53" max="53" width="6.7109375" style="326" customWidth="1"/>
    <col min="54" max="54" width="8.42578125" style="326" customWidth="1"/>
    <col min="55" max="56" width="10.140625" style="326" customWidth="1"/>
    <col min="57" max="57" width="14.5703125" style="326" customWidth="1"/>
    <col min="58" max="58" width="17.5703125" style="327" customWidth="1"/>
    <col min="59" max="59" width="9" style="326" bestFit="1" customWidth="1"/>
    <col min="60" max="60" width="10" style="326" hidden="1" customWidth="1"/>
    <col min="61" max="62" width="8.85546875" style="326" hidden="1" customWidth="1"/>
    <col min="63" max="64" width="8.85546875" style="326" customWidth="1"/>
    <col min="65" max="65" width="10.7109375" style="326" customWidth="1"/>
    <col min="66" max="73" width="8.85546875" style="326"/>
    <col min="74" max="74" width="10" style="326" customWidth="1"/>
    <col min="75" max="16384" width="8.85546875" style="326"/>
  </cols>
  <sheetData>
    <row r="1" spans="1:79" ht="23.25" customHeight="1">
      <c r="A1" s="907"/>
      <c r="B1" s="907"/>
      <c r="C1" s="907"/>
      <c r="D1" s="907"/>
      <c r="E1" s="908"/>
      <c r="F1" s="907"/>
      <c r="G1" s="909"/>
      <c r="H1" s="909"/>
      <c r="I1" s="909"/>
      <c r="J1" s="907"/>
      <c r="K1" s="907"/>
      <c r="L1" s="907"/>
      <c r="M1" s="907"/>
      <c r="N1" s="907"/>
      <c r="O1" s="907"/>
      <c r="P1" s="907"/>
      <c r="Q1" s="907"/>
      <c r="R1" s="909"/>
      <c r="S1" s="907"/>
      <c r="T1" s="907"/>
      <c r="U1" s="909"/>
      <c r="V1" s="907"/>
      <c r="W1" s="907"/>
      <c r="X1" s="907"/>
      <c r="Y1" s="907"/>
      <c r="Z1" s="907"/>
      <c r="AA1" s="907"/>
      <c r="AB1" s="907"/>
      <c r="AC1" s="907"/>
      <c r="AD1" s="907"/>
      <c r="AE1" s="907"/>
      <c r="AF1" s="907"/>
      <c r="AG1" s="907"/>
      <c r="AH1" s="907"/>
      <c r="AI1" s="907"/>
      <c r="AJ1" s="907"/>
      <c r="AK1" s="907"/>
      <c r="AL1" s="907"/>
      <c r="AM1" s="907"/>
      <c r="AN1" s="910"/>
      <c r="AO1" s="910"/>
      <c r="AP1" s="910"/>
      <c r="AQ1" s="910"/>
      <c r="AR1" s="910"/>
      <c r="AS1" s="910"/>
      <c r="AT1" s="907"/>
      <c r="AU1" s="907"/>
      <c r="AV1" s="907"/>
      <c r="AW1" s="907"/>
      <c r="AX1" s="907"/>
      <c r="AY1" s="907"/>
      <c r="AZ1" s="907"/>
      <c r="BA1" s="907"/>
      <c r="BB1" s="907"/>
      <c r="BC1" s="907"/>
      <c r="BD1" s="907"/>
      <c r="BE1" s="907"/>
      <c r="BF1" s="911"/>
      <c r="BG1" s="907"/>
      <c r="BH1" s="907"/>
      <c r="BI1" s="907"/>
      <c r="BJ1" s="907"/>
      <c r="BK1" s="907"/>
      <c r="BL1" s="907"/>
      <c r="BM1" s="907"/>
      <c r="BN1" s="907"/>
      <c r="BO1" s="907"/>
      <c r="BP1" s="907"/>
      <c r="BQ1" s="907"/>
      <c r="BR1" s="907"/>
      <c r="BS1" s="907"/>
      <c r="BT1" s="907"/>
      <c r="BU1" s="907"/>
      <c r="BV1" s="907"/>
      <c r="BW1" s="907"/>
      <c r="BX1" s="907"/>
      <c r="BY1" s="907"/>
      <c r="BZ1" s="906"/>
      <c r="CA1" s="906"/>
    </row>
    <row r="2" spans="1:79" ht="18.75">
      <c r="A2" s="907"/>
      <c r="B2" s="907"/>
      <c r="C2" s="907"/>
      <c r="D2" s="907"/>
      <c r="E2" s="908"/>
      <c r="F2" s="907"/>
      <c r="G2" s="909"/>
      <c r="H2" s="909"/>
      <c r="I2" s="909"/>
      <c r="J2" s="907"/>
      <c r="K2" s="907"/>
      <c r="L2" s="907"/>
      <c r="M2" s="907"/>
      <c r="N2" s="907"/>
      <c r="O2" s="907"/>
      <c r="P2" s="907"/>
      <c r="Q2" s="907"/>
      <c r="R2" s="909"/>
      <c r="S2" s="907"/>
      <c r="T2" s="907"/>
      <c r="U2" s="909"/>
      <c r="V2" s="907"/>
      <c r="W2" s="907"/>
      <c r="X2" s="907"/>
      <c r="Y2" s="907"/>
      <c r="Z2" s="907"/>
      <c r="AA2" s="907"/>
      <c r="AB2" s="907"/>
      <c r="AC2" s="907"/>
      <c r="AD2" s="907"/>
      <c r="AE2" s="907"/>
      <c r="AF2" s="907"/>
      <c r="AG2" s="907"/>
      <c r="AH2" s="907"/>
      <c r="AI2" s="907"/>
      <c r="AJ2" s="907"/>
      <c r="AK2" s="907"/>
      <c r="AL2" s="907"/>
      <c r="AM2" s="907"/>
      <c r="AN2" s="910"/>
      <c r="AO2" s="910"/>
      <c r="AP2" s="910"/>
      <c r="AQ2" s="910"/>
      <c r="AR2" s="910"/>
      <c r="AS2" s="910"/>
      <c r="AT2" s="907"/>
      <c r="AU2" s="907"/>
      <c r="AV2" s="907"/>
      <c r="AW2" s="907"/>
      <c r="AX2" s="907"/>
      <c r="AY2" s="907"/>
      <c r="AZ2" s="907"/>
      <c r="BA2" s="907"/>
      <c r="BB2" s="907"/>
      <c r="BC2" s="907"/>
      <c r="BD2" s="907"/>
      <c r="BE2" s="907"/>
      <c r="BF2" s="911"/>
      <c r="BG2" s="907"/>
      <c r="BH2" s="907"/>
      <c r="BI2" s="907"/>
      <c r="BJ2" s="907"/>
      <c r="BK2" s="907"/>
      <c r="BL2" s="907"/>
      <c r="BM2" s="907"/>
      <c r="BN2" s="907"/>
      <c r="BO2" s="907"/>
      <c r="BP2" s="907"/>
      <c r="BQ2" s="907"/>
      <c r="BR2" s="907"/>
      <c r="BS2" s="907"/>
      <c r="BT2" s="907"/>
      <c r="BU2" s="907"/>
      <c r="BV2" s="907"/>
      <c r="BW2" s="907"/>
      <c r="BX2" s="907"/>
      <c r="BY2" s="907"/>
      <c r="BZ2" s="906"/>
      <c r="CA2" s="906"/>
    </row>
    <row r="3" spans="1:79" s="226" customFormat="1" ht="18.75" customHeight="1">
      <c r="A3" s="911"/>
      <c r="B3" s="911"/>
      <c r="C3" s="1371" t="s">
        <v>151</v>
      </c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71"/>
      <c r="Q3" s="1371"/>
      <c r="R3" s="1371"/>
      <c r="S3" s="1371"/>
      <c r="T3" s="1371"/>
      <c r="U3" s="1371"/>
      <c r="V3" s="1371"/>
      <c r="W3" s="1371"/>
      <c r="X3" s="1371"/>
      <c r="Y3" s="1371"/>
      <c r="Z3" s="1371"/>
      <c r="AA3" s="1371"/>
      <c r="AB3" s="1371"/>
      <c r="AC3" s="1371"/>
      <c r="AD3" s="1371"/>
      <c r="AE3" s="1371"/>
      <c r="AF3" s="1371"/>
      <c r="AG3" s="1371"/>
      <c r="AH3" s="1371"/>
      <c r="AI3" s="1371"/>
      <c r="AJ3" s="1371"/>
      <c r="AK3" s="911"/>
      <c r="AL3" s="911"/>
      <c r="AM3" s="911"/>
      <c r="AN3" s="912"/>
      <c r="AO3" s="912"/>
      <c r="AP3" s="912"/>
      <c r="AQ3" s="912"/>
      <c r="AR3" s="912"/>
      <c r="AS3" s="912"/>
      <c r="AT3" s="1372" t="s">
        <v>305</v>
      </c>
      <c r="AU3" s="1372"/>
      <c r="AV3" s="1372"/>
      <c r="AW3" s="1372"/>
      <c r="AX3" s="1372"/>
      <c r="AY3" s="913">
        <v>0</v>
      </c>
      <c r="AZ3" s="914" t="s">
        <v>306</v>
      </c>
      <c r="BA3" s="914" t="s">
        <v>307</v>
      </c>
      <c r="BB3" s="914" t="s">
        <v>308</v>
      </c>
      <c r="BC3" s="914" t="s">
        <v>576</v>
      </c>
      <c r="BD3" s="915"/>
      <c r="BE3" s="915"/>
      <c r="BF3" s="915"/>
      <c r="BG3" s="916"/>
      <c r="BH3" s="911"/>
      <c r="BI3" s="911"/>
      <c r="BJ3" s="911"/>
      <c r="BK3" s="911"/>
      <c r="BL3" s="911"/>
      <c r="BM3" s="911"/>
      <c r="BN3" s="911"/>
      <c r="BO3" s="911"/>
      <c r="BP3" s="911"/>
      <c r="BQ3" s="911"/>
      <c r="BR3" s="911"/>
      <c r="BS3" s="911"/>
      <c r="BT3" s="911"/>
      <c r="BU3" s="911"/>
      <c r="BV3" s="911"/>
      <c r="BW3" s="911"/>
      <c r="BX3" s="911"/>
      <c r="BY3" s="911"/>
      <c r="BZ3" s="762"/>
      <c r="CA3" s="762"/>
    </row>
    <row r="4" spans="1:79" s="226" customFormat="1" ht="18.75">
      <c r="A4" s="911"/>
      <c r="B4" s="911"/>
      <c r="C4" s="917"/>
      <c r="D4" s="917"/>
      <c r="E4" s="918"/>
      <c r="F4" s="917"/>
      <c r="G4" s="919"/>
      <c r="H4" s="919"/>
      <c r="I4" s="919"/>
      <c r="J4" s="911"/>
      <c r="K4" s="911"/>
      <c r="L4" s="911"/>
      <c r="M4" s="911"/>
      <c r="N4" s="911"/>
      <c r="O4" s="911"/>
      <c r="P4" s="911"/>
      <c r="Q4" s="911"/>
      <c r="R4" s="919"/>
      <c r="S4" s="911"/>
      <c r="T4" s="911"/>
      <c r="U4" s="919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2"/>
      <c r="AO4" s="912"/>
      <c r="AP4" s="912"/>
      <c r="AQ4" s="912"/>
      <c r="AR4" s="912"/>
      <c r="AS4" s="912"/>
      <c r="AT4" s="1358" t="s">
        <v>311</v>
      </c>
      <c r="AU4" s="1359"/>
      <c r="AV4" s="1359"/>
      <c r="AW4" s="1359"/>
      <c r="AX4" s="1360"/>
      <c r="AY4" s="913">
        <v>1</v>
      </c>
      <c r="AZ4" s="913">
        <v>4</v>
      </c>
      <c r="BA4" s="913">
        <v>5</v>
      </c>
      <c r="BB4" s="913">
        <v>2</v>
      </c>
      <c r="BC4" s="913">
        <f>BB4+BA4+AZ4+AY4</f>
        <v>12</v>
      </c>
      <c r="BD4" s="916"/>
      <c r="BE4" s="916"/>
      <c r="BF4" s="916"/>
      <c r="BG4" s="916"/>
      <c r="BH4" s="911"/>
      <c r="BI4" s="911"/>
      <c r="BJ4" s="911"/>
      <c r="BK4" s="911"/>
      <c r="BL4" s="911"/>
      <c r="BM4" s="911"/>
      <c r="BN4" s="911"/>
      <c r="BO4" s="911"/>
      <c r="BP4" s="911"/>
      <c r="BQ4" s="911"/>
      <c r="BR4" s="911"/>
      <c r="BS4" s="911"/>
      <c r="BT4" s="911"/>
      <c r="BU4" s="911"/>
      <c r="BV4" s="911"/>
      <c r="BW4" s="911"/>
      <c r="BX4" s="911"/>
      <c r="BY4" s="911"/>
      <c r="BZ4" s="762"/>
      <c r="CA4" s="762"/>
    </row>
    <row r="5" spans="1:79" s="226" customFormat="1" ht="12.75" customHeight="1">
      <c r="A5" s="911"/>
      <c r="B5" s="911"/>
      <c r="C5" s="1373" t="s">
        <v>643</v>
      </c>
      <c r="D5" s="1373"/>
      <c r="E5" s="1373"/>
      <c r="F5" s="1373"/>
      <c r="G5" s="1373"/>
      <c r="H5" s="1373"/>
      <c r="I5" s="1373"/>
      <c r="J5" s="1373"/>
      <c r="K5" s="1373"/>
      <c r="L5" s="1373"/>
      <c r="M5" s="909"/>
      <c r="N5" s="911"/>
      <c r="O5" s="911"/>
      <c r="P5" s="911"/>
      <c r="Q5" s="911"/>
      <c r="R5" s="919"/>
      <c r="S5" s="911"/>
      <c r="T5" s="911"/>
      <c r="U5" s="919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  <c r="AL5" s="911"/>
      <c r="AM5" s="911"/>
      <c r="AN5" s="912"/>
      <c r="AO5" s="912"/>
      <c r="AP5" s="912"/>
      <c r="AQ5" s="912"/>
      <c r="AR5" s="912"/>
      <c r="AS5" s="912"/>
      <c r="AT5" s="1358" t="s">
        <v>312</v>
      </c>
      <c r="AU5" s="1359"/>
      <c r="AV5" s="1359"/>
      <c r="AW5" s="1359"/>
      <c r="AX5" s="1360"/>
      <c r="AY5" s="913">
        <v>1</v>
      </c>
      <c r="AZ5" s="913">
        <v>4</v>
      </c>
      <c r="BA5" s="913">
        <v>5</v>
      </c>
      <c r="BB5" s="913">
        <v>2</v>
      </c>
      <c r="BC5" s="913">
        <f t="shared" ref="BC5:BC12" si="0">BB5+BA5+AZ5+AY5</f>
        <v>12</v>
      </c>
      <c r="BD5" s="916"/>
      <c r="BE5" s="916"/>
      <c r="BF5" s="916"/>
      <c r="BG5" s="916"/>
      <c r="BH5" s="911"/>
      <c r="BI5" s="911"/>
      <c r="BJ5" s="911"/>
      <c r="BK5" s="911"/>
      <c r="BL5" s="911"/>
      <c r="BM5" s="911"/>
      <c r="BN5" s="911"/>
      <c r="BO5" s="911"/>
      <c r="BP5" s="911"/>
      <c r="BQ5" s="911"/>
      <c r="BR5" s="911"/>
      <c r="BS5" s="911"/>
      <c r="BT5" s="911"/>
      <c r="BU5" s="911"/>
      <c r="BV5" s="911"/>
      <c r="BW5" s="911"/>
      <c r="BX5" s="911"/>
      <c r="BY5" s="911"/>
      <c r="BZ5" s="762"/>
      <c r="CA5" s="762"/>
    </row>
    <row r="6" spans="1:79" s="226" customFormat="1" ht="18.75">
      <c r="A6" s="911"/>
      <c r="B6" s="911"/>
      <c r="C6" s="917" t="s">
        <v>654</v>
      </c>
      <c r="D6" s="917"/>
      <c r="E6" s="918"/>
      <c r="F6" s="917"/>
      <c r="G6" s="919"/>
      <c r="H6" s="919"/>
      <c r="I6" s="919"/>
      <c r="J6" s="917"/>
      <c r="K6" s="917"/>
      <c r="L6" s="917"/>
      <c r="M6" s="920"/>
      <c r="N6" s="917"/>
      <c r="O6" s="917"/>
      <c r="P6" s="917"/>
      <c r="Q6" s="917"/>
      <c r="R6" s="919"/>
      <c r="S6" s="917"/>
      <c r="T6" s="917"/>
      <c r="U6" s="919"/>
      <c r="V6" s="911"/>
      <c r="W6" s="911"/>
      <c r="X6" s="911"/>
      <c r="Y6" s="911"/>
      <c r="Z6" s="911"/>
      <c r="AA6" s="911"/>
      <c r="AB6" s="911"/>
      <c r="AC6" s="911"/>
      <c r="AD6" s="911"/>
      <c r="AE6" s="911"/>
      <c r="AF6" s="911"/>
      <c r="AG6" s="911"/>
      <c r="AH6" s="911"/>
      <c r="AI6" s="911"/>
      <c r="AJ6" s="911"/>
      <c r="AK6" s="911"/>
      <c r="AL6" s="911"/>
      <c r="AM6" s="911"/>
      <c r="AN6" s="912"/>
      <c r="AO6" s="912"/>
      <c r="AP6" s="912"/>
      <c r="AQ6" s="912"/>
      <c r="AR6" s="912"/>
      <c r="AS6" s="912"/>
      <c r="AT6" s="1358" t="s">
        <v>313</v>
      </c>
      <c r="AU6" s="1359"/>
      <c r="AV6" s="1359"/>
      <c r="AW6" s="1359"/>
      <c r="AX6" s="1360"/>
      <c r="AY6" s="913">
        <v>9</v>
      </c>
      <c r="AZ6" s="913">
        <v>48</v>
      </c>
      <c r="BA6" s="913">
        <v>41</v>
      </c>
      <c r="BB6" s="913">
        <v>17</v>
      </c>
      <c r="BC6" s="913">
        <f>BB6+BA6+AZ6+AY6</f>
        <v>115</v>
      </c>
      <c r="BD6" s="916"/>
      <c r="BE6" s="916"/>
      <c r="BF6" s="916"/>
      <c r="BG6" s="916"/>
      <c r="BH6" s="911"/>
      <c r="BI6" s="911"/>
      <c r="BJ6" s="911"/>
      <c r="BK6" s="911"/>
      <c r="BL6" s="911"/>
      <c r="BM6" s="911"/>
      <c r="BN6" s="911"/>
      <c r="BO6" s="911"/>
      <c r="BP6" s="911"/>
      <c r="BQ6" s="911"/>
      <c r="BR6" s="911"/>
      <c r="BS6" s="911"/>
      <c r="BT6" s="911"/>
      <c r="BU6" s="911"/>
      <c r="BV6" s="911"/>
      <c r="BW6" s="911"/>
      <c r="BX6" s="911"/>
      <c r="BY6" s="911"/>
      <c r="BZ6" s="762"/>
      <c r="CA6" s="762"/>
    </row>
    <row r="7" spans="1:79" s="226" customFormat="1" ht="18.75">
      <c r="A7" s="911"/>
      <c r="B7" s="911"/>
      <c r="C7" s="917"/>
      <c r="D7" s="917"/>
      <c r="E7" s="918"/>
      <c r="F7" s="917"/>
      <c r="G7" s="919"/>
      <c r="H7" s="919"/>
      <c r="I7" s="919"/>
      <c r="J7" s="917"/>
      <c r="K7" s="917"/>
      <c r="L7" s="917"/>
      <c r="M7" s="917"/>
      <c r="N7" s="917"/>
      <c r="O7" s="917"/>
      <c r="P7" s="917"/>
      <c r="Q7" s="917"/>
      <c r="R7" s="919"/>
      <c r="S7" s="917"/>
      <c r="T7" s="917"/>
      <c r="U7" s="919"/>
      <c r="V7" s="911"/>
      <c r="W7" s="911"/>
      <c r="X7" s="911"/>
      <c r="Y7" s="911"/>
      <c r="Z7" s="911"/>
      <c r="AA7" s="911"/>
      <c r="AB7" s="911"/>
      <c r="AC7" s="911"/>
      <c r="AD7" s="911"/>
      <c r="AE7" s="911"/>
      <c r="AF7" s="911"/>
      <c r="AG7" s="911"/>
      <c r="AH7" s="911"/>
      <c r="AI7" s="911"/>
      <c r="AJ7" s="916"/>
      <c r="AK7" s="911"/>
      <c r="AL7" s="911"/>
      <c r="AM7" s="911"/>
      <c r="AN7" s="912"/>
      <c r="AO7" s="912"/>
      <c r="AP7" s="912"/>
      <c r="AQ7" s="912"/>
      <c r="AR7" s="912"/>
      <c r="AS7" s="912"/>
      <c r="AT7" s="1358" t="s">
        <v>314</v>
      </c>
      <c r="AU7" s="1359"/>
      <c r="AV7" s="1359"/>
      <c r="AW7" s="1359"/>
      <c r="AX7" s="1360"/>
      <c r="AY7" s="913"/>
      <c r="AZ7" s="913">
        <v>115</v>
      </c>
      <c r="BA7" s="913">
        <v>183</v>
      </c>
      <c r="BB7" s="913">
        <v>77</v>
      </c>
      <c r="BC7" s="913">
        <f>BB7+BA7+AZ7+AY7</f>
        <v>375</v>
      </c>
      <c r="BD7" s="916"/>
      <c r="BE7" s="916"/>
      <c r="BF7" s="916"/>
      <c r="BG7" s="916"/>
      <c r="BH7" s="911"/>
      <c r="BI7" s="911"/>
      <c r="BJ7" s="911"/>
      <c r="BK7" s="911"/>
      <c r="BL7" s="911"/>
      <c r="BM7" s="911"/>
      <c r="BN7" s="911"/>
      <c r="BO7" s="911"/>
      <c r="BP7" s="911"/>
      <c r="BQ7" s="911"/>
      <c r="BR7" s="911"/>
      <c r="BS7" s="911"/>
      <c r="BT7" s="911"/>
      <c r="BU7" s="911"/>
      <c r="BV7" s="911"/>
      <c r="BW7" s="911"/>
      <c r="BX7" s="911"/>
      <c r="BY7" s="911"/>
      <c r="BZ7" s="762"/>
      <c r="CA7" s="762"/>
    </row>
    <row r="8" spans="1:79" s="226" customFormat="1" ht="18.75">
      <c r="A8" s="911"/>
      <c r="B8" s="911"/>
      <c r="C8" s="911"/>
      <c r="D8" s="911"/>
      <c r="E8" s="921"/>
      <c r="F8" s="911"/>
      <c r="G8" s="919"/>
      <c r="H8" s="919"/>
      <c r="I8" s="919"/>
      <c r="J8" s="911"/>
      <c r="K8" s="911"/>
      <c r="L8" s="911"/>
      <c r="M8" s="911"/>
      <c r="N8" s="911"/>
      <c r="O8" s="911"/>
      <c r="P8" s="911"/>
      <c r="Q8" s="911"/>
      <c r="R8" s="919"/>
      <c r="S8" s="911"/>
      <c r="T8" s="911"/>
      <c r="U8" s="919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6"/>
      <c r="AK8" s="911"/>
      <c r="AL8" s="911"/>
      <c r="AM8" s="911"/>
      <c r="AN8" s="912"/>
      <c r="AO8" s="912"/>
      <c r="AP8" s="912"/>
      <c r="AQ8" s="912"/>
      <c r="AR8" s="912"/>
      <c r="AS8" s="912"/>
      <c r="AT8" s="1374" t="s">
        <v>316</v>
      </c>
      <c r="AU8" s="1375"/>
      <c r="AV8" s="1375"/>
      <c r="AW8" s="1375"/>
      <c r="AX8" s="1376"/>
      <c r="AY8" s="913"/>
      <c r="AZ8" s="913">
        <v>107</v>
      </c>
      <c r="BA8" s="913">
        <v>173</v>
      </c>
      <c r="BB8" s="913">
        <v>76</v>
      </c>
      <c r="BC8" s="913">
        <f t="shared" si="0"/>
        <v>356</v>
      </c>
      <c r="BD8" s="916"/>
      <c r="BE8" s="916"/>
      <c r="BF8" s="916"/>
      <c r="BG8" s="916"/>
      <c r="BH8" s="911"/>
      <c r="BI8" s="911"/>
      <c r="BJ8" s="911"/>
      <c r="BK8" s="911"/>
      <c r="BL8" s="911"/>
      <c r="BM8" s="911"/>
      <c r="BN8" s="911"/>
      <c r="BO8" s="911"/>
      <c r="BP8" s="911"/>
      <c r="BQ8" s="911"/>
      <c r="BR8" s="911"/>
      <c r="BS8" s="911"/>
      <c r="BT8" s="911"/>
      <c r="BU8" s="911"/>
      <c r="BV8" s="911"/>
      <c r="BW8" s="911"/>
      <c r="BX8" s="911"/>
      <c r="BY8" s="911"/>
      <c r="BZ8" s="762"/>
      <c r="CA8" s="762"/>
    </row>
    <row r="9" spans="1:79" s="226" customFormat="1" ht="12.75" customHeight="1">
      <c r="A9" s="911"/>
      <c r="B9" s="911"/>
      <c r="C9" s="911"/>
      <c r="D9" s="911"/>
      <c r="E9" s="922"/>
      <c r="F9" s="911"/>
      <c r="G9" s="919"/>
      <c r="H9" s="919"/>
      <c r="I9" s="919"/>
      <c r="J9" s="911"/>
      <c r="K9" s="911"/>
      <c r="L9" s="911"/>
      <c r="M9" s="911"/>
      <c r="N9" s="911"/>
      <c r="O9" s="911"/>
      <c r="P9" s="911"/>
      <c r="Q9" s="911"/>
      <c r="R9" s="919"/>
      <c r="S9" s="911"/>
      <c r="T9" s="911"/>
      <c r="U9" s="919"/>
      <c r="V9" s="911"/>
      <c r="W9" s="911"/>
      <c r="X9" s="911"/>
      <c r="Y9" s="911"/>
      <c r="Z9" s="911"/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1"/>
      <c r="AN9" s="912"/>
      <c r="AO9" s="912"/>
      <c r="AP9" s="912"/>
      <c r="AQ9" s="912"/>
      <c r="AR9" s="912"/>
      <c r="AS9" s="912"/>
      <c r="AT9" s="1374" t="s">
        <v>608</v>
      </c>
      <c r="AU9" s="1375"/>
      <c r="AV9" s="1375"/>
      <c r="AW9" s="1375"/>
      <c r="AX9" s="1376"/>
      <c r="AY9" s="923"/>
      <c r="AZ9" s="913">
        <v>8</v>
      </c>
      <c r="BA9" s="913">
        <v>10</v>
      </c>
      <c r="BB9" s="913">
        <v>1</v>
      </c>
      <c r="BC9" s="913">
        <f t="shared" si="0"/>
        <v>19</v>
      </c>
      <c r="BD9" s="916"/>
      <c r="BE9" s="916"/>
      <c r="BF9" s="916"/>
      <c r="BG9" s="916"/>
      <c r="BH9" s="916"/>
      <c r="BI9" s="911"/>
      <c r="BJ9" s="911"/>
      <c r="BK9" s="911"/>
      <c r="BL9" s="911"/>
      <c r="BM9" s="911"/>
      <c r="BN9" s="911"/>
      <c r="BO9" s="911"/>
      <c r="BP9" s="911"/>
      <c r="BQ9" s="911"/>
      <c r="BR9" s="911"/>
      <c r="BS9" s="911"/>
      <c r="BT9" s="911"/>
      <c r="BU9" s="911"/>
      <c r="BV9" s="911"/>
      <c r="BW9" s="911"/>
      <c r="BX9" s="911"/>
      <c r="BY9" s="911"/>
      <c r="BZ9" s="762"/>
      <c r="CA9" s="762"/>
    </row>
    <row r="10" spans="1:79" s="226" customFormat="1" ht="12.75" customHeight="1">
      <c r="A10" s="911"/>
      <c r="B10" s="911"/>
      <c r="C10" s="911"/>
      <c r="D10" s="911"/>
      <c r="E10" s="922"/>
      <c r="F10" s="911"/>
      <c r="G10" s="919"/>
      <c r="H10" s="919"/>
      <c r="I10" s="919"/>
      <c r="J10" s="911"/>
      <c r="K10" s="911"/>
      <c r="L10" s="911"/>
      <c r="M10" s="911"/>
      <c r="N10" s="911"/>
      <c r="O10" s="911"/>
      <c r="P10" s="911"/>
      <c r="Q10" s="911"/>
      <c r="R10" s="919"/>
      <c r="S10" s="911"/>
      <c r="T10" s="911"/>
      <c r="U10" s="919"/>
      <c r="V10" s="911"/>
      <c r="W10" s="911"/>
      <c r="X10" s="911"/>
      <c r="Y10" s="911"/>
      <c r="Z10" s="911"/>
      <c r="AA10" s="911"/>
      <c r="AB10" s="911"/>
      <c r="AC10" s="911"/>
      <c r="AD10" s="911"/>
      <c r="AE10" s="911"/>
      <c r="AF10" s="911"/>
      <c r="AG10" s="911"/>
      <c r="AH10" s="911"/>
      <c r="AI10" s="911"/>
      <c r="AJ10" s="911"/>
      <c r="AK10" s="911"/>
      <c r="AL10" s="911"/>
      <c r="AM10" s="911"/>
      <c r="AN10" s="912"/>
      <c r="AO10" s="912"/>
      <c r="AP10" s="912"/>
      <c r="AQ10" s="912"/>
      <c r="AR10" s="912"/>
      <c r="AS10" s="912"/>
      <c r="AT10" s="924"/>
      <c r="AU10" s="925"/>
      <c r="AV10" s="925" t="s">
        <v>607</v>
      </c>
      <c r="AW10" s="925"/>
      <c r="AX10" s="926"/>
      <c r="AY10" s="923"/>
      <c r="AZ10" s="913">
        <v>4</v>
      </c>
      <c r="BA10" s="913">
        <v>3</v>
      </c>
      <c r="BB10" s="913"/>
      <c r="BC10" s="913">
        <v>7</v>
      </c>
      <c r="BD10" s="916"/>
      <c r="BE10" s="916"/>
      <c r="BF10" s="916"/>
      <c r="BG10" s="916"/>
      <c r="BH10" s="916"/>
      <c r="BI10" s="911"/>
      <c r="BJ10" s="911"/>
      <c r="BK10" s="911"/>
      <c r="BL10" s="911"/>
      <c r="BM10" s="911"/>
      <c r="BN10" s="911"/>
      <c r="BO10" s="911"/>
      <c r="BP10" s="911"/>
      <c r="BQ10" s="911"/>
      <c r="BR10" s="911"/>
      <c r="BS10" s="911"/>
      <c r="BT10" s="911"/>
      <c r="BU10" s="911"/>
      <c r="BV10" s="911"/>
      <c r="BW10" s="911"/>
      <c r="BX10" s="911"/>
      <c r="BY10" s="911"/>
      <c r="BZ10" s="762"/>
      <c r="CA10" s="762"/>
    </row>
    <row r="11" spans="1:79" s="226" customFormat="1" ht="12.75" customHeight="1">
      <c r="A11" s="911"/>
      <c r="B11" s="911"/>
      <c r="C11" s="911"/>
      <c r="D11" s="911"/>
      <c r="E11" s="922"/>
      <c r="F11" s="911"/>
      <c r="G11" s="919"/>
      <c r="H11" s="919"/>
      <c r="I11" s="919"/>
      <c r="J11" s="911"/>
      <c r="K11" s="911"/>
      <c r="L11" s="911"/>
      <c r="M11" s="911"/>
      <c r="N11" s="911"/>
      <c r="O11" s="911"/>
      <c r="P11" s="911"/>
      <c r="Q11" s="911"/>
      <c r="R11" s="919"/>
      <c r="S11" s="911"/>
      <c r="T11" s="911"/>
      <c r="U11" s="919"/>
      <c r="V11" s="911"/>
      <c r="W11" s="911"/>
      <c r="X11" s="911"/>
      <c r="Y11" s="911"/>
      <c r="Z11" s="911"/>
      <c r="AA11" s="911"/>
      <c r="AB11" s="911"/>
      <c r="AC11" s="911"/>
      <c r="AD11" s="911"/>
      <c r="AE11" s="911"/>
      <c r="AF11" s="911"/>
      <c r="AG11" s="911"/>
      <c r="AH11" s="911"/>
      <c r="AI11" s="911"/>
      <c r="AJ11" s="911"/>
      <c r="AK11" s="911"/>
      <c r="AL11" s="911"/>
      <c r="AM11" s="911"/>
      <c r="AN11" s="912"/>
      <c r="AO11" s="912"/>
      <c r="AP11" s="912"/>
      <c r="AQ11" s="912"/>
      <c r="AR11" s="912"/>
      <c r="AS11" s="912"/>
      <c r="AT11" s="927"/>
      <c r="AU11" s="928" t="s">
        <v>637</v>
      </c>
      <c r="AV11" s="928"/>
      <c r="AW11" s="928"/>
      <c r="AX11" s="929"/>
      <c r="AY11" s="923"/>
      <c r="AZ11" s="913">
        <v>4</v>
      </c>
      <c r="BA11" s="913">
        <v>0</v>
      </c>
      <c r="BB11" s="913">
        <v>0</v>
      </c>
      <c r="BC11" s="913">
        <v>4</v>
      </c>
      <c r="BD11" s="916"/>
      <c r="BE11" s="916"/>
      <c r="BF11" s="916"/>
      <c r="BG11" s="916"/>
      <c r="BH11" s="916"/>
      <c r="BI11" s="911"/>
      <c r="BJ11" s="911"/>
      <c r="BK11" s="911"/>
      <c r="BL11" s="911"/>
      <c r="BM11" s="911"/>
      <c r="BN11" s="911"/>
      <c r="BO11" s="911"/>
      <c r="BP11" s="911"/>
      <c r="BQ11" s="911"/>
      <c r="BR11" s="911"/>
      <c r="BS11" s="911"/>
      <c r="BT11" s="911"/>
      <c r="BU11" s="911"/>
      <c r="BV11" s="911"/>
      <c r="BW11" s="911"/>
      <c r="BX11" s="911"/>
      <c r="BY11" s="911"/>
      <c r="BZ11" s="762"/>
      <c r="CA11" s="762"/>
    </row>
    <row r="12" spans="1:79" s="226" customFormat="1" ht="13.5" customHeight="1">
      <c r="A12" s="911"/>
      <c r="B12" s="911"/>
      <c r="C12" s="911"/>
      <c r="D12" s="911"/>
      <c r="E12" s="921"/>
      <c r="F12" s="911"/>
      <c r="G12" s="919"/>
      <c r="H12" s="919"/>
      <c r="I12" s="919"/>
      <c r="J12" s="911"/>
      <c r="K12" s="911"/>
      <c r="L12" s="911"/>
      <c r="M12" s="911"/>
      <c r="N12" s="911"/>
      <c r="O12" s="911"/>
      <c r="P12" s="911"/>
      <c r="Q12" s="911"/>
      <c r="R12" s="919"/>
      <c r="S12" s="911"/>
      <c r="T12" s="911"/>
      <c r="U12" s="919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1"/>
      <c r="AL12" s="911"/>
      <c r="AM12" s="911"/>
      <c r="AN12" s="912"/>
      <c r="AO12" s="912"/>
      <c r="AP12" s="912"/>
      <c r="AQ12" s="912"/>
      <c r="AR12" s="912"/>
      <c r="AS12" s="912"/>
      <c r="AT12" s="1358" t="s">
        <v>653</v>
      </c>
      <c r="AU12" s="1359"/>
      <c r="AV12" s="1359"/>
      <c r="AW12" s="1359"/>
      <c r="AX12" s="1360"/>
      <c r="AY12" s="913"/>
      <c r="AZ12" s="913">
        <v>0</v>
      </c>
      <c r="BA12" s="913">
        <v>7</v>
      </c>
      <c r="BB12" s="913">
        <v>1</v>
      </c>
      <c r="BC12" s="913">
        <f t="shared" si="0"/>
        <v>8</v>
      </c>
      <c r="BD12" s="916"/>
      <c r="BE12" s="916"/>
      <c r="BF12" s="916"/>
      <c r="BG12" s="916"/>
      <c r="BH12" s="911"/>
      <c r="BI12" s="911"/>
      <c r="BJ12" s="911"/>
      <c r="BK12" s="911"/>
      <c r="BL12" s="911"/>
      <c r="BM12" s="911"/>
      <c r="BN12" s="911"/>
      <c r="BO12" s="911"/>
      <c r="BP12" s="911"/>
      <c r="BQ12" s="911"/>
      <c r="BR12" s="911"/>
      <c r="BS12" s="911"/>
      <c r="BT12" s="911"/>
      <c r="BU12" s="911"/>
      <c r="BV12" s="911"/>
      <c r="BW12" s="911"/>
      <c r="BX12" s="911"/>
      <c r="BY12" s="911"/>
      <c r="BZ12" s="762"/>
      <c r="CA12" s="762"/>
    </row>
    <row r="13" spans="1:79" s="745" customFormat="1" ht="17.25" customHeight="1">
      <c r="A13" s="911"/>
      <c r="B13" s="911"/>
      <c r="C13" s="911"/>
      <c r="D13" s="911"/>
      <c r="E13" s="921"/>
      <c r="F13" s="911"/>
      <c r="G13" s="919"/>
      <c r="H13" s="919"/>
      <c r="I13" s="919"/>
      <c r="J13" s="911"/>
      <c r="K13" s="911"/>
      <c r="L13" s="911"/>
      <c r="M13" s="911"/>
      <c r="N13" s="911"/>
      <c r="O13" s="911"/>
      <c r="P13" s="911"/>
      <c r="Q13" s="911"/>
      <c r="R13" s="919"/>
      <c r="S13" s="911"/>
      <c r="T13" s="911"/>
      <c r="U13" s="919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1"/>
      <c r="AH13" s="911"/>
      <c r="AI13" s="911"/>
      <c r="AJ13" s="911"/>
      <c r="AK13" s="911"/>
      <c r="AL13" s="911"/>
      <c r="AM13" s="916"/>
      <c r="AN13" s="916"/>
      <c r="AO13" s="916"/>
      <c r="AP13" s="916"/>
      <c r="AQ13" s="916"/>
      <c r="AR13" s="916"/>
      <c r="AS13" s="930"/>
      <c r="AT13" s="930"/>
      <c r="AU13" s="930"/>
      <c r="AV13" s="930"/>
      <c r="AW13" s="930"/>
      <c r="AX13" s="930"/>
      <c r="AY13" s="930"/>
      <c r="AZ13" s="930"/>
      <c r="BA13" s="930"/>
      <c r="BB13" s="930"/>
      <c r="BC13" s="930"/>
      <c r="BD13" s="930"/>
      <c r="BE13" s="930"/>
      <c r="BF13" s="930"/>
      <c r="BG13" s="917"/>
      <c r="BH13" s="911"/>
      <c r="BI13" s="911"/>
      <c r="BJ13" s="911"/>
      <c r="BK13" s="911"/>
      <c r="BL13" s="911"/>
      <c r="BM13" s="911"/>
      <c r="BN13" s="911"/>
      <c r="BO13" s="911"/>
      <c r="BP13" s="911"/>
      <c r="BQ13" s="911"/>
      <c r="BR13" s="911"/>
      <c r="BS13" s="911"/>
      <c r="BT13" s="911"/>
      <c r="BU13" s="911"/>
      <c r="BV13" s="911"/>
      <c r="BW13" s="911"/>
      <c r="BX13" s="911"/>
      <c r="BY13" s="911"/>
      <c r="BZ13" s="762"/>
      <c r="CA13" s="762"/>
    </row>
    <row r="14" spans="1:79" s="762" customFormat="1" ht="13.5" customHeight="1">
      <c r="A14" s="931" t="s">
        <v>265</v>
      </c>
      <c r="B14" s="1331" t="s">
        <v>396</v>
      </c>
      <c r="C14" s="1362" t="s">
        <v>397</v>
      </c>
      <c r="D14" s="1362" t="s">
        <v>598</v>
      </c>
      <c r="E14" s="1365" t="s">
        <v>614</v>
      </c>
      <c r="F14" s="1368" t="s">
        <v>580</v>
      </c>
      <c r="G14" s="1368" t="s">
        <v>398</v>
      </c>
      <c r="H14" s="1331" t="s">
        <v>613</v>
      </c>
      <c r="I14" s="1361" t="s">
        <v>271</v>
      </c>
      <c r="J14" s="932" t="s">
        <v>430</v>
      </c>
      <c r="K14" s="932" t="s">
        <v>430</v>
      </c>
      <c r="L14" s="1331" t="s">
        <v>330</v>
      </c>
      <c r="M14" s="933"/>
      <c r="N14" s="1349" t="s">
        <v>431</v>
      </c>
      <c r="O14" s="1350"/>
      <c r="P14" s="1351"/>
      <c r="Q14" s="934"/>
      <c r="R14" s="1358" t="s">
        <v>332</v>
      </c>
      <c r="S14" s="1359"/>
      <c r="T14" s="1360"/>
      <c r="U14" s="1331" t="s">
        <v>273</v>
      </c>
      <c r="V14" s="1353" t="s">
        <v>333</v>
      </c>
      <c r="W14" s="1354"/>
      <c r="X14" s="1354"/>
      <c r="Y14" s="1355"/>
      <c r="Z14" s="935"/>
      <c r="AA14" s="935"/>
      <c r="AB14" s="1356" t="s">
        <v>334</v>
      </c>
      <c r="AC14" s="1356"/>
      <c r="AD14" s="1356"/>
      <c r="AE14" s="1356"/>
      <c r="AF14" s="1356"/>
      <c r="AG14" s="1357"/>
      <c r="AH14" s="1358" t="s">
        <v>443</v>
      </c>
      <c r="AI14" s="1359"/>
      <c r="AJ14" s="1359"/>
      <c r="AK14" s="1359"/>
      <c r="AL14" s="1359"/>
      <c r="AM14" s="1360"/>
      <c r="AN14" s="1342" t="s">
        <v>432</v>
      </c>
      <c r="AO14" s="1342"/>
      <c r="AP14" s="1342"/>
      <c r="AQ14" s="1342"/>
      <c r="AR14" s="1342"/>
      <c r="AS14" s="1342"/>
      <c r="AT14" s="1342" t="s">
        <v>336</v>
      </c>
      <c r="AU14" s="1342"/>
      <c r="AV14" s="1342"/>
      <c r="AW14" s="1342"/>
      <c r="AX14" s="1342"/>
      <c r="AY14" s="1342"/>
      <c r="AZ14" s="1331" t="s">
        <v>596</v>
      </c>
      <c r="BA14" s="1342" t="s">
        <v>338</v>
      </c>
      <c r="BB14" s="1348" t="s">
        <v>593</v>
      </c>
      <c r="BC14" s="1348" t="s">
        <v>666</v>
      </c>
      <c r="BD14" s="1331" t="s">
        <v>667</v>
      </c>
      <c r="BE14" s="1331" t="s">
        <v>599</v>
      </c>
      <c r="BF14" s="1331" t="s">
        <v>600</v>
      </c>
      <c r="BG14" s="916"/>
      <c r="BH14" s="916"/>
      <c r="BI14" s="916"/>
      <c r="BJ14" s="916"/>
      <c r="BK14" s="1334" t="s">
        <v>668</v>
      </c>
      <c r="BL14" s="1335"/>
      <c r="BM14" s="1336"/>
      <c r="BN14" s="1334" t="s">
        <v>669</v>
      </c>
      <c r="BO14" s="1335"/>
      <c r="BP14" s="1336"/>
      <c r="BQ14" s="1334" t="s">
        <v>670</v>
      </c>
      <c r="BR14" s="1335"/>
      <c r="BS14" s="1336"/>
      <c r="BT14" s="1334" t="s">
        <v>672</v>
      </c>
      <c r="BU14" s="1335"/>
      <c r="BV14" s="1336"/>
      <c r="BW14" s="1334" t="s">
        <v>671</v>
      </c>
      <c r="BX14" s="1335"/>
      <c r="BY14" s="1336"/>
    </row>
    <row r="15" spans="1:79" s="762" customFormat="1" ht="13.5" customHeight="1">
      <c r="A15" s="936"/>
      <c r="B15" s="1333"/>
      <c r="C15" s="1363"/>
      <c r="D15" s="1363"/>
      <c r="E15" s="1366"/>
      <c r="F15" s="1369"/>
      <c r="G15" s="1369"/>
      <c r="H15" s="1332"/>
      <c r="I15" s="1377"/>
      <c r="J15" s="936">
        <v>18</v>
      </c>
      <c r="K15" s="936">
        <v>20</v>
      </c>
      <c r="L15" s="1332"/>
      <c r="M15" s="937"/>
      <c r="N15" s="1346" t="s">
        <v>306</v>
      </c>
      <c r="O15" s="1346" t="s">
        <v>507</v>
      </c>
      <c r="P15" s="1346" t="s">
        <v>508</v>
      </c>
      <c r="Q15" s="938"/>
      <c r="R15" s="1346" t="s">
        <v>306</v>
      </c>
      <c r="S15" s="1346" t="s">
        <v>507</v>
      </c>
      <c r="T15" s="1346" t="s">
        <v>508</v>
      </c>
      <c r="U15" s="1332"/>
      <c r="V15" s="939">
        <v>0.1</v>
      </c>
      <c r="W15" s="939">
        <v>0.2</v>
      </c>
      <c r="X15" s="940">
        <v>0.125</v>
      </c>
      <c r="Y15" s="939">
        <v>0.25</v>
      </c>
      <c r="Z15" s="939" t="s">
        <v>434</v>
      </c>
      <c r="AA15" s="939" t="s">
        <v>434</v>
      </c>
      <c r="AB15" s="1344" t="s">
        <v>349</v>
      </c>
      <c r="AC15" s="1345"/>
      <c r="AD15" s="1345" t="s">
        <v>350</v>
      </c>
      <c r="AE15" s="1345"/>
      <c r="AF15" s="1345" t="s">
        <v>344</v>
      </c>
      <c r="AG15" s="1345"/>
      <c r="AH15" s="1345" t="s">
        <v>349</v>
      </c>
      <c r="AI15" s="1345"/>
      <c r="AJ15" s="1340" t="s">
        <v>350</v>
      </c>
      <c r="AK15" s="1340"/>
      <c r="AL15" s="1340" t="s">
        <v>344</v>
      </c>
      <c r="AM15" s="1340"/>
      <c r="AN15" s="1352" t="s">
        <v>435</v>
      </c>
      <c r="AO15" s="1344"/>
      <c r="AP15" s="1340" t="s">
        <v>350</v>
      </c>
      <c r="AQ15" s="1340"/>
      <c r="AR15" s="1340" t="s">
        <v>344</v>
      </c>
      <c r="AS15" s="1337"/>
      <c r="AT15" s="1341" t="s">
        <v>349</v>
      </c>
      <c r="AU15" s="1341"/>
      <c r="AV15" s="1342" t="s">
        <v>350</v>
      </c>
      <c r="AW15" s="1342"/>
      <c r="AX15" s="1342" t="s">
        <v>344</v>
      </c>
      <c r="AY15" s="1342"/>
      <c r="AZ15" s="1332"/>
      <c r="BA15" s="1342"/>
      <c r="BB15" s="1348"/>
      <c r="BC15" s="1348"/>
      <c r="BD15" s="1332"/>
      <c r="BE15" s="1332"/>
      <c r="BF15" s="1332"/>
      <c r="BG15" s="916"/>
      <c r="BH15" s="916"/>
      <c r="BI15" s="916"/>
      <c r="BJ15" s="916"/>
      <c r="BK15" s="1337"/>
      <c r="BL15" s="1338"/>
      <c r="BM15" s="1339"/>
      <c r="BN15" s="1337"/>
      <c r="BO15" s="1338"/>
      <c r="BP15" s="1339"/>
      <c r="BQ15" s="1337"/>
      <c r="BR15" s="1338"/>
      <c r="BS15" s="1339"/>
      <c r="BT15" s="1337"/>
      <c r="BU15" s="1338"/>
      <c r="BV15" s="1339"/>
      <c r="BW15" s="1337"/>
      <c r="BX15" s="1338"/>
      <c r="BY15" s="1339"/>
    </row>
    <row r="16" spans="1:79" s="773" customFormat="1" ht="13.5" customHeight="1">
      <c r="A16" s="941"/>
      <c r="B16" s="941"/>
      <c r="C16" s="1364"/>
      <c r="D16" s="1364"/>
      <c r="E16" s="1367"/>
      <c r="F16" s="1370"/>
      <c r="G16" s="1370"/>
      <c r="H16" s="1333"/>
      <c r="I16" s="1340"/>
      <c r="J16" s="941"/>
      <c r="K16" s="941"/>
      <c r="L16" s="1333"/>
      <c r="M16" s="942" t="s">
        <v>639</v>
      </c>
      <c r="N16" s="1347"/>
      <c r="O16" s="1347"/>
      <c r="P16" s="1347"/>
      <c r="Q16" s="943" t="s">
        <v>639</v>
      </c>
      <c r="R16" s="1347"/>
      <c r="S16" s="1347"/>
      <c r="T16" s="1347"/>
      <c r="U16" s="1333"/>
      <c r="V16" s="944"/>
      <c r="W16" s="944"/>
      <c r="X16" s="944"/>
      <c r="Y16" s="944"/>
      <c r="Z16" s="944" t="s">
        <v>436</v>
      </c>
      <c r="AA16" s="944"/>
      <c r="AB16" s="945">
        <v>0.5</v>
      </c>
      <c r="AC16" s="946">
        <v>1</v>
      </c>
      <c r="AD16" s="946">
        <v>0.5</v>
      </c>
      <c r="AE16" s="946">
        <v>1</v>
      </c>
      <c r="AF16" s="946">
        <v>0.5</v>
      </c>
      <c r="AG16" s="946">
        <v>1</v>
      </c>
      <c r="AH16" s="946">
        <v>0.5</v>
      </c>
      <c r="AI16" s="946">
        <v>1</v>
      </c>
      <c r="AJ16" s="946">
        <v>0.5</v>
      </c>
      <c r="AK16" s="946">
        <v>1</v>
      </c>
      <c r="AL16" s="946">
        <v>0.5</v>
      </c>
      <c r="AM16" s="946">
        <v>1</v>
      </c>
      <c r="AN16" s="947" t="s">
        <v>351</v>
      </c>
      <c r="AO16" s="947" t="s">
        <v>352</v>
      </c>
      <c r="AP16" s="947" t="s">
        <v>351</v>
      </c>
      <c r="AQ16" s="947" t="s">
        <v>352</v>
      </c>
      <c r="AR16" s="947" t="s">
        <v>351</v>
      </c>
      <c r="AS16" s="948" t="s">
        <v>352</v>
      </c>
      <c r="AT16" s="946">
        <v>0.5</v>
      </c>
      <c r="AU16" s="946">
        <v>1</v>
      </c>
      <c r="AV16" s="946">
        <v>0.5</v>
      </c>
      <c r="AW16" s="946">
        <v>1</v>
      </c>
      <c r="AX16" s="946">
        <v>0.5</v>
      </c>
      <c r="AY16" s="946">
        <v>1</v>
      </c>
      <c r="AZ16" s="1333"/>
      <c r="BA16" s="1342"/>
      <c r="BB16" s="1348"/>
      <c r="BC16" s="1348"/>
      <c r="BD16" s="1333"/>
      <c r="BE16" s="1333"/>
      <c r="BF16" s="1333"/>
      <c r="BG16" s="949"/>
      <c r="BH16" s="949"/>
      <c r="BI16" s="949"/>
      <c r="BJ16" s="949"/>
      <c r="BK16" s="947" t="s">
        <v>673</v>
      </c>
      <c r="BL16" s="947" t="s">
        <v>674</v>
      </c>
      <c r="BM16" s="947" t="s">
        <v>352</v>
      </c>
      <c r="BN16" s="947" t="s">
        <v>673</v>
      </c>
      <c r="BO16" s="947" t="s">
        <v>674</v>
      </c>
      <c r="BP16" s="947" t="s">
        <v>352</v>
      </c>
      <c r="BQ16" s="947" t="s">
        <v>673</v>
      </c>
      <c r="BR16" s="947" t="s">
        <v>674</v>
      </c>
      <c r="BS16" s="947" t="s">
        <v>352</v>
      </c>
      <c r="BT16" s="947" t="s">
        <v>673</v>
      </c>
      <c r="BU16" s="947" t="s">
        <v>674</v>
      </c>
      <c r="BV16" s="947" t="s">
        <v>352</v>
      </c>
      <c r="BW16" s="947" t="s">
        <v>673</v>
      </c>
      <c r="BX16" s="947" t="s">
        <v>674</v>
      </c>
      <c r="BY16" s="947" t="s">
        <v>352</v>
      </c>
    </row>
    <row r="17" spans="1:77" s="773" customFormat="1" ht="15" customHeight="1">
      <c r="A17" s="947">
        <v>1</v>
      </c>
      <c r="B17" s="950" t="s">
        <v>358</v>
      </c>
      <c r="C17" s="950" t="s">
        <v>403</v>
      </c>
      <c r="D17" s="941" t="s">
        <v>582</v>
      </c>
      <c r="E17" s="950" t="s">
        <v>606</v>
      </c>
      <c r="F17" s="951" t="s">
        <v>355</v>
      </c>
      <c r="G17" s="951">
        <v>17697</v>
      </c>
      <c r="H17" s="951">
        <v>4.0999999999999996</v>
      </c>
      <c r="I17" s="952">
        <f>G17*H17</f>
        <v>72557.7</v>
      </c>
      <c r="J17" s="953">
        <v>18</v>
      </c>
      <c r="K17" s="953">
        <v>18</v>
      </c>
      <c r="L17" s="954">
        <f>1/18*(N17+O17+P17)</f>
        <v>1.5</v>
      </c>
      <c r="M17" s="954"/>
      <c r="N17" s="953"/>
      <c r="O17" s="952">
        <v>25</v>
      </c>
      <c r="P17" s="951">
        <v>2</v>
      </c>
      <c r="Q17" s="951"/>
      <c r="R17" s="952">
        <f>I17/J17*N17</f>
        <v>0</v>
      </c>
      <c r="S17" s="952">
        <f t="shared" ref="S17:S40" si="1">I17/J17*O17</f>
        <v>100774.58333333333</v>
      </c>
      <c r="T17" s="952">
        <f t="shared" ref="T17:T44" si="2">I17/J17*P17</f>
        <v>8061.9666666666662</v>
      </c>
      <c r="U17" s="952">
        <f>(R17+S17+T17)*25%</f>
        <v>27209.137499999997</v>
      </c>
      <c r="V17" s="955">
        <v>0.1</v>
      </c>
      <c r="W17" s="955">
        <v>0.2</v>
      </c>
      <c r="X17" s="956">
        <v>0.125</v>
      </c>
      <c r="Y17" s="955">
        <v>0.25</v>
      </c>
      <c r="Z17" s="955">
        <v>0.15</v>
      </c>
      <c r="AA17" s="955">
        <v>0.3</v>
      </c>
      <c r="AB17" s="957"/>
      <c r="AC17" s="957"/>
      <c r="AD17" s="957">
        <v>25</v>
      </c>
      <c r="AE17" s="958"/>
      <c r="AF17" s="957">
        <v>2</v>
      </c>
      <c r="AG17" s="959"/>
      <c r="AH17" s="959">
        <f t="shared" ref="AH17:AH26" si="3">G17*20%/18*AB17*50%</f>
        <v>0</v>
      </c>
      <c r="AI17" s="959"/>
      <c r="AJ17" s="959">
        <f>G17*25%/18*AD17*50%</f>
        <v>3072.395833333333</v>
      </c>
      <c r="AK17" s="959"/>
      <c r="AL17" s="959">
        <f>G17*20%/J17*AF17*50%</f>
        <v>196.63333333333333</v>
      </c>
      <c r="AM17" s="959"/>
      <c r="AN17" s="953"/>
      <c r="AO17" s="953"/>
      <c r="AP17" s="953"/>
      <c r="AQ17" s="959">
        <f>G17*Y17/J17*AP17</f>
        <v>0</v>
      </c>
      <c r="AR17" s="953"/>
      <c r="AS17" s="959">
        <f>G17*Y17/J17*AR17</f>
        <v>0</v>
      </c>
      <c r="AT17" s="958"/>
      <c r="AU17" s="958"/>
      <c r="AV17" s="958">
        <v>2655</v>
      </c>
      <c r="AW17" s="960"/>
      <c r="AX17" s="958"/>
      <c r="AY17" s="958"/>
      <c r="AZ17" s="958"/>
      <c r="BA17" s="958">
        <v>3539</v>
      </c>
      <c r="BB17" s="957"/>
      <c r="BC17" s="957"/>
      <c r="BD17" s="957"/>
      <c r="BE17" s="957">
        <f>(R17+S17+T17+U17)*0.1</f>
        <v>13604.56875</v>
      </c>
      <c r="BF17" s="957">
        <f>R17+S17+T17+U17+AH17+AI17+AJ17+AK17+AL17+AM17+AT17+AU17+AV17+AW17+AX17+AY17+AZ17+BE17+BD17+BB17+BA17</f>
        <v>159113.28541666668</v>
      </c>
      <c r="BG17" s="949"/>
      <c r="BH17" s="961">
        <v>0.3</v>
      </c>
      <c r="BI17" s="961">
        <v>0.35</v>
      </c>
      <c r="BJ17" s="961">
        <v>0.4</v>
      </c>
      <c r="BK17" s="962">
        <f>(1/18)*BL17</f>
        <v>1.5</v>
      </c>
      <c r="BL17" s="947">
        <v>27</v>
      </c>
      <c r="BM17" s="963">
        <f>(((I17*1.25)*BH17)/J17)*BL17</f>
        <v>40813.706250000003</v>
      </c>
      <c r="BN17" s="947">
        <f>(1/18)*BO17</f>
        <v>0</v>
      </c>
      <c r="BO17" s="947"/>
      <c r="BP17" s="947">
        <f>((I17*BH17)/J17)*BO17</f>
        <v>0</v>
      </c>
      <c r="BQ17" s="947">
        <f>(1/18)*BR17</f>
        <v>0</v>
      </c>
      <c r="BR17" s="947"/>
      <c r="BS17" s="947">
        <f>((I17*BI17)/J17)*BR17</f>
        <v>0</v>
      </c>
      <c r="BT17" s="947">
        <f>(1/18)*BU17</f>
        <v>0</v>
      </c>
      <c r="BU17" s="947"/>
      <c r="BV17" s="947">
        <f>((I17*BJ17)/J17)*BU17</f>
        <v>0</v>
      </c>
      <c r="BW17" s="947">
        <f>(1/18)*BX17</f>
        <v>0</v>
      </c>
      <c r="BX17" s="947"/>
      <c r="BY17" s="947"/>
    </row>
    <row r="18" spans="1:77" s="762" customFormat="1" ht="15.75" customHeight="1">
      <c r="A18" s="913">
        <v>2</v>
      </c>
      <c r="B18" s="913" t="s">
        <v>1</v>
      </c>
      <c r="C18" s="913" t="s">
        <v>403</v>
      </c>
      <c r="D18" s="964" t="s">
        <v>585</v>
      </c>
      <c r="E18" s="947" t="s">
        <v>617</v>
      </c>
      <c r="F18" s="965" t="s">
        <v>401</v>
      </c>
      <c r="G18" s="966">
        <v>17697</v>
      </c>
      <c r="H18" s="966">
        <v>5.41</v>
      </c>
      <c r="I18" s="952">
        <f t="shared" ref="I18:I44" si="4">G18*H18</f>
        <v>95740.77</v>
      </c>
      <c r="J18" s="965">
        <v>18</v>
      </c>
      <c r="K18" s="965">
        <v>18</v>
      </c>
      <c r="L18" s="954">
        <f t="shared" ref="L18:L44" si="5">1/18*(N18+O18+P18)</f>
        <v>1</v>
      </c>
      <c r="M18" s="954"/>
      <c r="N18" s="967"/>
      <c r="O18" s="967">
        <v>12</v>
      </c>
      <c r="P18" s="967">
        <v>6</v>
      </c>
      <c r="Q18" s="967"/>
      <c r="R18" s="952"/>
      <c r="S18" s="952">
        <f t="shared" si="1"/>
        <v>63827.180000000008</v>
      </c>
      <c r="T18" s="952">
        <f t="shared" si="2"/>
        <v>31913.590000000004</v>
      </c>
      <c r="U18" s="952">
        <f>(R18+S18+T18)*25%</f>
        <v>23935.192500000005</v>
      </c>
      <c r="V18" s="968">
        <v>0.1</v>
      </c>
      <c r="W18" s="968">
        <v>0.2</v>
      </c>
      <c r="X18" s="969">
        <v>0.125</v>
      </c>
      <c r="Y18" s="968">
        <v>0.25</v>
      </c>
      <c r="Z18" s="968">
        <v>0.15</v>
      </c>
      <c r="AA18" s="968">
        <v>0.3</v>
      </c>
      <c r="AB18" s="970"/>
      <c r="AC18" s="970"/>
      <c r="AD18" s="970">
        <v>12</v>
      </c>
      <c r="AE18" s="967"/>
      <c r="AF18" s="967">
        <v>6</v>
      </c>
      <c r="AG18" s="971"/>
      <c r="AH18" s="959">
        <f t="shared" si="3"/>
        <v>0</v>
      </c>
      <c r="AI18" s="971"/>
      <c r="AJ18" s="959">
        <f>G18*25%/18*AD18*50%</f>
        <v>1474.75</v>
      </c>
      <c r="AK18" s="971"/>
      <c r="AL18" s="959">
        <f>G18*25%/J18*AF18*50%</f>
        <v>737.375</v>
      </c>
      <c r="AM18" s="971"/>
      <c r="AN18" s="967"/>
      <c r="AO18" s="971"/>
      <c r="AP18" s="967"/>
      <c r="AQ18" s="971"/>
      <c r="AR18" s="967"/>
      <c r="AS18" s="971"/>
      <c r="AT18" s="967"/>
      <c r="AU18" s="967"/>
      <c r="AV18" s="970"/>
      <c r="AW18" s="967"/>
      <c r="AX18" s="970"/>
      <c r="AY18" s="967"/>
      <c r="AZ18" s="967"/>
      <c r="BA18" s="970"/>
      <c r="BB18" s="970"/>
      <c r="BC18" s="970"/>
      <c r="BD18" s="970"/>
      <c r="BE18" s="957">
        <f t="shared" ref="BE18:BE43" si="6">(R18+S18+T18+U18)*0.1</f>
        <v>11967.596250000002</v>
      </c>
      <c r="BF18" s="957">
        <f t="shared" ref="BF18:BF44" si="7">R18+S18+T18+U18+AH18+AI18+AJ18+AK18+AL18+AM18+AT18+AU18+AV18+AW18+AX18+AY18+AZ18+BE18+BD18+BB18+BA18</f>
        <v>133855.68375000003</v>
      </c>
      <c r="BG18" s="916"/>
      <c r="BH18" s="961">
        <v>0.3</v>
      </c>
      <c r="BI18" s="961">
        <v>0.35</v>
      </c>
      <c r="BJ18" s="961">
        <v>0.4</v>
      </c>
      <c r="BK18" s="974">
        <f t="shared" ref="BK18:BK44" si="8">(1/18)*BL18</f>
        <v>0.83333333333333326</v>
      </c>
      <c r="BL18" s="913">
        <v>15</v>
      </c>
      <c r="BM18" s="963">
        <f t="shared" ref="BM18:BM44" si="9">(((I18*1.25)*BH18)/J18)*BL18</f>
        <v>29918.990624999999</v>
      </c>
      <c r="BN18" s="947">
        <f t="shared" ref="BN18:BN44" si="10">(1/18)*BO18</f>
        <v>0</v>
      </c>
      <c r="BO18" s="913"/>
      <c r="BP18" s="947">
        <f t="shared" ref="BP18:BP44" si="11">((I18*BH18)/J18)*BO18</f>
        <v>0</v>
      </c>
      <c r="BQ18" s="947">
        <f t="shared" ref="BQ18:BQ44" si="12">(1/18)*BR18</f>
        <v>0</v>
      </c>
      <c r="BR18" s="913"/>
      <c r="BS18" s="947">
        <f t="shared" ref="BS18:BS44" si="13">((I18*BI18)/J18)*BR18</f>
        <v>0</v>
      </c>
      <c r="BT18" s="947">
        <f t="shared" ref="BT18:BT44" si="14">(1/18)*BU18</f>
        <v>1</v>
      </c>
      <c r="BU18" s="913">
        <v>18</v>
      </c>
      <c r="BV18" s="947">
        <f t="shared" ref="BV18:BV44" si="15">((I18*BJ18)/J18)*BU18</f>
        <v>38296.308000000005</v>
      </c>
      <c r="BW18" s="947">
        <f t="shared" ref="BW18:BW44" si="16">(1/18)*BX18</f>
        <v>0</v>
      </c>
      <c r="BX18" s="913"/>
      <c r="BY18" s="913"/>
    </row>
    <row r="19" spans="1:77" s="773" customFormat="1" ht="15.75" customHeight="1">
      <c r="A19" s="947">
        <v>3</v>
      </c>
      <c r="B19" s="947" t="s">
        <v>394</v>
      </c>
      <c r="C19" s="947" t="s">
        <v>403</v>
      </c>
      <c r="D19" s="941" t="s">
        <v>581</v>
      </c>
      <c r="E19" s="947" t="s">
        <v>618</v>
      </c>
      <c r="F19" s="953" t="s">
        <v>374</v>
      </c>
      <c r="G19" s="951">
        <v>17697</v>
      </c>
      <c r="H19" s="951">
        <v>5.2</v>
      </c>
      <c r="I19" s="952">
        <f t="shared" si="4"/>
        <v>92024.400000000009</v>
      </c>
      <c r="J19" s="953">
        <v>18</v>
      </c>
      <c r="K19" s="953">
        <v>18</v>
      </c>
      <c r="L19" s="954">
        <f t="shared" si="5"/>
        <v>1</v>
      </c>
      <c r="M19" s="954"/>
      <c r="N19" s="958"/>
      <c r="O19" s="958">
        <v>8</v>
      </c>
      <c r="P19" s="958">
        <v>10</v>
      </c>
      <c r="Q19" s="958"/>
      <c r="R19" s="952">
        <f>I19/J19*N19</f>
        <v>0</v>
      </c>
      <c r="S19" s="952">
        <f t="shared" si="1"/>
        <v>40899.733333333337</v>
      </c>
      <c r="T19" s="952">
        <f t="shared" si="2"/>
        <v>51124.666666666672</v>
      </c>
      <c r="U19" s="952">
        <f t="shared" ref="U19:U43" si="17">(R19+S19+T19)*25%</f>
        <v>23006.100000000002</v>
      </c>
      <c r="V19" s="955">
        <v>0.1</v>
      </c>
      <c r="W19" s="955">
        <v>0.2</v>
      </c>
      <c r="X19" s="956">
        <v>0.125</v>
      </c>
      <c r="Y19" s="955">
        <v>0.25</v>
      </c>
      <c r="Z19" s="955">
        <v>0.15</v>
      </c>
      <c r="AA19" s="955">
        <v>0.3</v>
      </c>
      <c r="AB19" s="958"/>
      <c r="AC19" s="957"/>
      <c r="AD19" s="957">
        <v>8</v>
      </c>
      <c r="AE19" s="958"/>
      <c r="AF19" s="958">
        <v>10</v>
      </c>
      <c r="AG19" s="959"/>
      <c r="AH19" s="959">
        <f t="shared" si="3"/>
        <v>0</v>
      </c>
      <c r="AI19" s="958"/>
      <c r="AJ19" s="959">
        <f>G19*25%/18*AD19*50%</f>
        <v>983.16666666666663</v>
      </c>
      <c r="AK19" s="959"/>
      <c r="AL19" s="959">
        <v>1229</v>
      </c>
      <c r="AM19" s="953"/>
      <c r="AN19" s="958"/>
      <c r="AO19" s="953"/>
      <c r="AP19" s="958"/>
      <c r="AQ19" s="953"/>
      <c r="AR19" s="958"/>
      <c r="AS19" s="953"/>
      <c r="AT19" s="958"/>
      <c r="AU19" s="958"/>
      <c r="AV19" s="957"/>
      <c r="AW19" s="958"/>
      <c r="AX19" s="960"/>
      <c r="AY19" s="958"/>
      <c r="AZ19" s="958"/>
      <c r="BA19" s="957"/>
      <c r="BB19" s="957"/>
      <c r="BC19" s="957"/>
      <c r="BD19" s="957"/>
      <c r="BE19" s="957">
        <f t="shared" si="6"/>
        <v>11503.050000000003</v>
      </c>
      <c r="BF19" s="957">
        <f t="shared" si="7"/>
        <v>128745.71666666669</v>
      </c>
      <c r="BG19" s="949"/>
      <c r="BH19" s="961">
        <v>0.3</v>
      </c>
      <c r="BI19" s="961">
        <v>0.35</v>
      </c>
      <c r="BJ19" s="961">
        <v>0.4</v>
      </c>
      <c r="BK19" s="974">
        <f t="shared" si="8"/>
        <v>0.66666666666666663</v>
      </c>
      <c r="BL19" s="947">
        <v>12</v>
      </c>
      <c r="BM19" s="963">
        <f t="shared" si="9"/>
        <v>23006.100000000002</v>
      </c>
      <c r="BN19" s="947">
        <f t="shared" si="10"/>
        <v>0</v>
      </c>
      <c r="BO19" s="947"/>
      <c r="BP19" s="947">
        <f t="shared" si="11"/>
        <v>0</v>
      </c>
      <c r="BQ19" s="947">
        <f t="shared" si="12"/>
        <v>0</v>
      </c>
      <c r="BR19" s="947"/>
      <c r="BS19" s="947">
        <f t="shared" si="13"/>
        <v>0</v>
      </c>
      <c r="BT19" s="947">
        <f t="shared" si="14"/>
        <v>0</v>
      </c>
      <c r="BU19" s="947"/>
      <c r="BV19" s="947">
        <f t="shared" si="15"/>
        <v>0</v>
      </c>
      <c r="BW19" s="947">
        <f t="shared" si="16"/>
        <v>0</v>
      </c>
      <c r="BX19" s="947"/>
      <c r="BY19" s="947"/>
    </row>
    <row r="20" spans="1:77" s="773" customFormat="1" ht="15.75" customHeight="1">
      <c r="A20" s="947">
        <v>4</v>
      </c>
      <c r="B20" s="947" t="s">
        <v>372</v>
      </c>
      <c r="C20" s="947" t="s">
        <v>403</v>
      </c>
      <c r="D20" s="941" t="s">
        <v>581</v>
      </c>
      <c r="E20" s="947" t="s">
        <v>604</v>
      </c>
      <c r="F20" s="953" t="s">
        <v>374</v>
      </c>
      <c r="G20" s="951">
        <v>17697</v>
      </c>
      <c r="H20" s="951">
        <v>5.12</v>
      </c>
      <c r="I20" s="952">
        <f t="shared" si="4"/>
        <v>90608.639999999999</v>
      </c>
      <c r="J20" s="953">
        <v>18</v>
      </c>
      <c r="K20" s="953">
        <v>18</v>
      </c>
      <c r="L20" s="954">
        <f t="shared" si="5"/>
        <v>1</v>
      </c>
      <c r="M20" s="954"/>
      <c r="N20" s="958"/>
      <c r="O20" s="958">
        <v>14</v>
      </c>
      <c r="P20" s="958">
        <v>4</v>
      </c>
      <c r="Q20" s="958"/>
      <c r="R20" s="952">
        <v>0</v>
      </c>
      <c r="S20" s="952">
        <f t="shared" si="1"/>
        <v>70473.386666666673</v>
      </c>
      <c r="T20" s="952">
        <f t="shared" si="2"/>
        <v>20135.253333333334</v>
      </c>
      <c r="U20" s="952">
        <f t="shared" si="17"/>
        <v>22652.160000000003</v>
      </c>
      <c r="V20" s="955">
        <v>0.1</v>
      </c>
      <c r="W20" s="955">
        <v>0.2</v>
      </c>
      <c r="X20" s="956">
        <v>0.125</v>
      </c>
      <c r="Y20" s="955">
        <v>0.25</v>
      </c>
      <c r="Z20" s="955">
        <v>0.15</v>
      </c>
      <c r="AA20" s="955">
        <v>0.3</v>
      </c>
      <c r="AB20" s="958"/>
      <c r="AC20" s="957"/>
      <c r="AD20" s="957"/>
      <c r="AE20" s="958"/>
      <c r="AF20" s="958"/>
      <c r="AG20" s="959"/>
      <c r="AH20" s="959">
        <f t="shared" si="3"/>
        <v>0</v>
      </c>
      <c r="AI20" s="958"/>
      <c r="AJ20" s="959">
        <f>G20*20%/18*AD20*50%</f>
        <v>0</v>
      </c>
      <c r="AK20" s="959"/>
      <c r="AL20" s="959">
        <f>G20*20%/J20*AF20*50%</f>
        <v>0</v>
      </c>
      <c r="AM20" s="953"/>
      <c r="AN20" s="958"/>
      <c r="AO20" s="953"/>
      <c r="AP20" s="958"/>
      <c r="AQ20" s="953"/>
      <c r="AR20" s="958"/>
      <c r="AS20" s="953"/>
      <c r="AT20" s="958"/>
      <c r="AU20" s="958"/>
      <c r="AV20" s="960">
        <v>2655</v>
      </c>
      <c r="AW20" s="958"/>
      <c r="AX20" s="960"/>
      <c r="AY20" s="958"/>
      <c r="AZ20" s="958"/>
      <c r="BA20" s="957">
        <v>3539</v>
      </c>
      <c r="BB20" s="957"/>
      <c r="BC20" s="957"/>
      <c r="BD20" s="957"/>
      <c r="BE20" s="957">
        <f t="shared" si="6"/>
        <v>11326.080000000002</v>
      </c>
      <c r="BF20" s="957">
        <f t="shared" si="7"/>
        <v>130780.88000000002</v>
      </c>
      <c r="BG20" s="949"/>
      <c r="BH20" s="961">
        <v>0.3</v>
      </c>
      <c r="BI20" s="961">
        <v>0.35</v>
      </c>
      <c r="BJ20" s="961">
        <v>0.4</v>
      </c>
      <c r="BK20" s="974">
        <f t="shared" si="8"/>
        <v>0.77777777777777768</v>
      </c>
      <c r="BL20" s="947">
        <v>14</v>
      </c>
      <c r="BM20" s="963">
        <f t="shared" si="9"/>
        <v>26427.519999999997</v>
      </c>
      <c r="BN20" s="947">
        <f t="shared" si="10"/>
        <v>0</v>
      </c>
      <c r="BO20" s="947"/>
      <c r="BP20" s="947">
        <f t="shared" si="11"/>
        <v>0</v>
      </c>
      <c r="BQ20" s="947">
        <f t="shared" si="12"/>
        <v>1</v>
      </c>
      <c r="BR20" s="947">
        <v>18</v>
      </c>
      <c r="BS20" s="947">
        <f t="shared" si="13"/>
        <v>31713.023999999998</v>
      </c>
      <c r="BT20" s="947">
        <f t="shared" si="14"/>
        <v>0</v>
      </c>
      <c r="BU20" s="947"/>
      <c r="BV20" s="947">
        <f t="shared" si="15"/>
        <v>0</v>
      </c>
      <c r="BW20" s="947">
        <f t="shared" si="16"/>
        <v>0</v>
      </c>
      <c r="BX20" s="947"/>
      <c r="BY20" s="947"/>
    </row>
    <row r="21" spans="1:77" s="773" customFormat="1" ht="15.75" customHeight="1">
      <c r="A21" s="947">
        <v>5</v>
      </c>
      <c r="B21" s="947" t="s">
        <v>220</v>
      </c>
      <c r="C21" s="947" t="s">
        <v>403</v>
      </c>
      <c r="D21" s="941" t="s">
        <v>583</v>
      </c>
      <c r="E21" s="947" t="s">
        <v>619</v>
      </c>
      <c r="F21" s="972" t="s">
        <v>300</v>
      </c>
      <c r="G21" s="951">
        <v>17697</v>
      </c>
      <c r="H21" s="951">
        <v>5.08</v>
      </c>
      <c r="I21" s="952">
        <f t="shared" si="4"/>
        <v>89900.76</v>
      </c>
      <c r="J21" s="953">
        <v>18</v>
      </c>
      <c r="K21" s="953">
        <v>18</v>
      </c>
      <c r="L21" s="954">
        <f t="shared" si="5"/>
        <v>1</v>
      </c>
      <c r="M21" s="954"/>
      <c r="N21" s="958"/>
      <c r="O21" s="958">
        <v>18</v>
      </c>
      <c r="P21" s="958"/>
      <c r="Q21" s="958"/>
      <c r="R21" s="952">
        <f t="shared" ref="R21:R41" si="18">I21/J21*N21</f>
        <v>0</v>
      </c>
      <c r="S21" s="952">
        <f t="shared" si="1"/>
        <v>89900.76</v>
      </c>
      <c r="T21" s="952">
        <f t="shared" si="2"/>
        <v>0</v>
      </c>
      <c r="U21" s="952">
        <f t="shared" si="17"/>
        <v>22475.19</v>
      </c>
      <c r="V21" s="955">
        <v>0.1</v>
      </c>
      <c r="W21" s="955">
        <v>0.2</v>
      </c>
      <c r="X21" s="956">
        <v>0.125</v>
      </c>
      <c r="Y21" s="955">
        <v>0.25</v>
      </c>
      <c r="Z21" s="955">
        <v>0.15</v>
      </c>
      <c r="AA21" s="955">
        <v>0.3</v>
      </c>
      <c r="AB21" s="957"/>
      <c r="AC21" s="957"/>
      <c r="AD21" s="957">
        <v>18</v>
      </c>
      <c r="AE21" s="958"/>
      <c r="AF21" s="957"/>
      <c r="AG21" s="959"/>
      <c r="AH21" s="959">
        <f t="shared" si="3"/>
        <v>0</v>
      </c>
      <c r="AI21" s="958"/>
      <c r="AJ21" s="959">
        <f>G21*25%/18*AD21*50%</f>
        <v>2212.125</v>
      </c>
      <c r="AK21" s="959"/>
      <c r="AL21" s="959">
        <f>G21*25%/J21*AF21*50%</f>
        <v>0</v>
      </c>
      <c r="AM21" s="959"/>
      <c r="AN21" s="958"/>
      <c r="AO21" s="953"/>
      <c r="AP21" s="958"/>
      <c r="AQ21" s="953"/>
      <c r="AR21" s="958"/>
      <c r="AS21" s="953"/>
      <c r="AT21" s="958"/>
      <c r="AU21" s="958"/>
      <c r="AV21" s="960"/>
      <c r="AW21" s="960"/>
      <c r="AX21" s="960">
        <v>2655</v>
      </c>
      <c r="AY21" s="958"/>
      <c r="AZ21" s="958"/>
      <c r="BA21" s="957">
        <v>3539</v>
      </c>
      <c r="BB21" s="957"/>
      <c r="BC21" s="957"/>
      <c r="BD21" s="957"/>
      <c r="BE21" s="957">
        <f t="shared" si="6"/>
        <v>11237.595000000001</v>
      </c>
      <c r="BF21" s="957">
        <f t="shared" si="7"/>
        <v>132019.66999999998</v>
      </c>
      <c r="BG21" s="949"/>
      <c r="BH21" s="961">
        <v>0.3</v>
      </c>
      <c r="BI21" s="961">
        <v>0.35</v>
      </c>
      <c r="BJ21" s="961">
        <v>0.4</v>
      </c>
      <c r="BK21" s="974">
        <f t="shared" si="8"/>
        <v>1</v>
      </c>
      <c r="BL21" s="947">
        <v>18</v>
      </c>
      <c r="BM21" s="963">
        <f t="shared" si="9"/>
        <v>33712.784999999996</v>
      </c>
      <c r="BN21" s="947">
        <f t="shared" si="10"/>
        <v>1</v>
      </c>
      <c r="BO21" s="947">
        <v>18</v>
      </c>
      <c r="BP21" s="947">
        <f t="shared" si="11"/>
        <v>26970.227999999999</v>
      </c>
      <c r="BQ21" s="947">
        <f t="shared" si="12"/>
        <v>0</v>
      </c>
      <c r="BR21" s="947"/>
      <c r="BS21" s="947">
        <f t="shared" si="13"/>
        <v>0</v>
      </c>
      <c r="BT21" s="947">
        <f t="shared" si="14"/>
        <v>0</v>
      </c>
      <c r="BU21" s="947"/>
      <c r="BV21" s="947">
        <f t="shared" si="15"/>
        <v>0</v>
      </c>
      <c r="BW21" s="947">
        <f t="shared" si="16"/>
        <v>0</v>
      </c>
      <c r="BX21" s="947"/>
      <c r="BY21" s="947"/>
    </row>
    <row r="22" spans="1:77" s="773" customFormat="1" ht="15.75" customHeight="1">
      <c r="A22" s="947">
        <v>6</v>
      </c>
      <c r="B22" s="947" t="s">
        <v>426</v>
      </c>
      <c r="C22" s="947" t="s">
        <v>403</v>
      </c>
      <c r="D22" s="941" t="s">
        <v>582</v>
      </c>
      <c r="E22" s="947" t="s">
        <v>655</v>
      </c>
      <c r="F22" s="972" t="s">
        <v>355</v>
      </c>
      <c r="G22" s="951">
        <v>17697</v>
      </c>
      <c r="H22" s="951">
        <v>4.0999999999999996</v>
      </c>
      <c r="I22" s="952">
        <f t="shared" si="4"/>
        <v>72557.7</v>
      </c>
      <c r="J22" s="953">
        <v>18</v>
      </c>
      <c r="K22" s="953">
        <v>18</v>
      </c>
      <c r="L22" s="954">
        <f t="shared" si="5"/>
        <v>0.1111111111111111</v>
      </c>
      <c r="M22" s="954"/>
      <c r="N22" s="958"/>
      <c r="O22" s="958"/>
      <c r="P22" s="908">
        <v>2</v>
      </c>
      <c r="Q22" s="953"/>
      <c r="R22" s="952">
        <f t="shared" si="18"/>
        <v>0</v>
      </c>
      <c r="S22" s="952">
        <f t="shared" si="1"/>
        <v>0</v>
      </c>
      <c r="T22" s="952">
        <f t="shared" si="2"/>
        <v>8061.9666666666662</v>
      </c>
      <c r="U22" s="952">
        <f t="shared" si="17"/>
        <v>2015.4916666666666</v>
      </c>
      <c r="V22" s="955">
        <v>0.1</v>
      </c>
      <c r="W22" s="955">
        <v>0.2</v>
      </c>
      <c r="X22" s="956">
        <v>0.125</v>
      </c>
      <c r="Y22" s="955">
        <v>0.25</v>
      </c>
      <c r="Z22" s="955">
        <v>0.15</v>
      </c>
      <c r="AA22" s="955">
        <v>0.3</v>
      </c>
      <c r="AB22" s="957"/>
      <c r="AC22" s="957"/>
      <c r="AD22" s="957"/>
      <c r="AE22" s="958"/>
      <c r="AF22" s="973"/>
      <c r="AG22" s="959"/>
      <c r="AH22" s="959">
        <f t="shared" si="3"/>
        <v>0</v>
      </c>
      <c r="AI22" s="958"/>
      <c r="AJ22" s="959">
        <f t="shared" ref="AJ22:AJ35" si="19">G22*20%/18*AD22*50%</f>
        <v>0</v>
      </c>
      <c r="AK22" s="959"/>
      <c r="AL22" s="959">
        <f t="shared" ref="AL22:AL35" si="20">G22*20%/J22*AF22*50%</f>
        <v>0</v>
      </c>
      <c r="AM22" s="959"/>
      <c r="AN22" s="958"/>
      <c r="AO22" s="953"/>
      <c r="AP22" s="958"/>
      <c r="AQ22" s="953"/>
      <c r="AR22" s="958"/>
      <c r="AS22" s="953"/>
      <c r="AT22" s="958"/>
      <c r="AU22" s="958"/>
      <c r="AV22" s="960"/>
      <c r="AW22" s="960"/>
      <c r="AX22" s="960"/>
      <c r="AY22" s="958"/>
      <c r="AZ22" s="958"/>
      <c r="BA22" s="957"/>
      <c r="BB22" s="957"/>
      <c r="BC22" s="957"/>
      <c r="BD22" s="957"/>
      <c r="BE22" s="957">
        <f t="shared" si="6"/>
        <v>1007.7458333333333</v>
      </c>
      <c r="BF22" s="957">
        <f t="shared" si="7"/>
        <v>11085.204166666665</v>
      </c>
      <c r="BG22" s="949"/>
      <c r="BH22" s="961">
        <v>0.3</v>
      </c>
      <c r="BI22" s="961">
        <v>0.35</v>
      </c>
      <c r="BJ22" s="961">
        <v>0.4</v>
      </c>
      <c r="BK22" s="974">
        <f t="shared" si="8"/>
        <v>5.5555555555555552E-2</v>
      </c>
      <c r="BL22" s="947">
        <v>1</v>
      </c>
      <c r="BM22" s="963">
        <f t="shared" si="9"/>
        <v>1511.6187500000001</v>
      </c>
      <c r="BN22" s="947">
        <f t="shared" si="10"/>
        <v>0</v>
      </c>
      <c r="BO22" s="947"/>
      <c r="BP22" s="947">
        <f t="shared" si="11"/>
        <v>0</v>
      </c>
      <c r="BQ22" s="947">
        <f t="shared" si="12"/>
        <v>0</v>
      </c>
      <c r="BR22" s="947"/>
      <c r="BS22" s="947">
        <f t="shared" si="13"/>
        <v>0</v>
      </c>
      <c r="BT22" s="947">
        <f t="shared" si="14"/>
        <v>0</v>
      </c>
      <c r="BU22" s="947"/>
      <c r="BV22" s="947">
        <f t="shared" si="15"/>
        <v>0</v>
      </c>
      <c r="BW22" s="947">
        <f t="shared" si="16"/>
        <v>0</v>
      </c>
      <c r="BX22" s="947"/>
      <c r="BY22" s="947"/>
    </row>
    <row r="23" spans="1:77" s="773" customFormat="1" ht="15.75" customHeight="1">
      <c r="A23" s="947">
        <v>7</v>
      </c>
      <c r="B23" s="947" t="s">
        <v>33</v>
      </c>
      <c r="C23" s="947" t="s">
        <v>403</v>
      </c>
      <c r="D23" s="941" t="s">
        <v>583</v>
      </c>
      <c r="E23" s="947" t="s">
        <v>621</v>
      </c>
      <c r="F23" s="972" t="s">
        <v>300</v>
      </c>
      <c r="G23" s="951">
        <v>17697</v>
      </c>
      <c r="H23" s="951">
        <v>4.8099999999999996</v>
      </c>
      <c r="I23" s="952">
        <f t="shared" si="4"/>
        <v>85122.569999999992</v>
      </c>
      <c r="J23" s="953">
        <v>18</v>
      </c>
      <c r="K23" s="953">
        <v>18</v>
      </c>
      <c r="L23" s="954">
        <f t="shared" si="5"/>
        <v>0.66666666666666663</v>
      </c>
      <c r="M23" s="954"/>
      <c r="N23" s="958">
        <v>2</v>
      </c>
      <c r="O23" s="958">
        <v>9</v>
      </c>
      <c r="P23" s="958">
        <v>1</v>
      </c>
      <c r="Q23" s="958"/>
      <c r="R23" s="952">
        <f t="shared" si="18"/>
        <v>9458.0633333333317</v>
      </c>
      <c r="S23" s="952">
        <f t="shared" si="1"/>
        <v>42561.284999999989</v>
      </c>
      <c r="T23" s="952">
        <f t="shared" si="2"/>
        <v>4729.0316666666658</v>
      </c>
      <c r="U23" s="952">
        <f t="shared" si="17"/>
        <v>14187.094999999998</v>
      </c>
      <c r="V23" s="955">
        <v>0.1</v>
      </c>
      <c r="W23" s="955">
        <v>0.2</v>
      </c>
      <c r="X23" s="956">
        <v>0.125</v>
      </c>
      <c r="Y23" s="955">
        <v>0.25</v>
      </c>
      <c r="Z23" s="955">
        <v>0.15</v>
      </c>
      <c r="AA23" s="955">
        <v>0.3</v>
      </c>
      <c r="AB23" s="957"/>
      <c r="AC23" s="957"/>
      <c r="AD23" s="973"/>
      <c r="AE23" s="958"/>
      <c r="AF23" s="958"/>
      <c r="AG23" s="959"/>
      <c r="AH23" s="959">
        <f t="shared" si="3"/>
        <v>0</v>
      </c>
      <c r="AI23" s="958"/>
      <c r="AJ23" s="959">
        <f t="shared" si="19"/>
        <v>0</v>
      </c>
      <c r="AK23" s="959"/>
      <c r="AL23" s="959">
        <f t="shared" si="20"/>
        <v>0</v>
      </c>
      <c r="AM23" s="959"/>
      <c r="AN23" s="958"/>
      <c r="AO23" s="953"/>
      <c r="AP23" s="958"/>
      <c r="AQ23" s="953"/>
      <c r="AR23" s="958"/>
      <c r="AS23" s="953"/>
      <c r="AT23" s="958"/>
      <c r="AU23" s="958"/>
      <c r="AV23" s="960">
        <v>2655</v>
      </c>
      <c r="AW23" s="957"/>
      <c r="AX23" s="957"/>
      <c r="AY23" s="958"/>
      <c r="AZ23" s="958">
        <v>1770</v>
      </c>
      <c r="BA23" s="957">
        <v>3539</v>
      </c>
      <c r="BB23" s="957"/>
      <c r="BC23" s="957"/>
      <c r="BD23" s="957"/>
      <c r="BE23" s="957">
        <f t="shared" si="6"/>
        <v>7093.5474999999997</v>
      </c>
      <c r="BF23" s="957">
        <f t="shared" si="7"/>
        <v>85993.022499999992</v>
      </c>
      <c r="BG23" s="949"/>
      <c r="BH23" s="961">
        <v>0.3</v>
      </c>
      <c r="BI23" s="961">
        <v>0.35</v>
      </c>
      <c r="BJ23" s="961">
        <v>0.4</v>
      </c>
      <c r="BK23" s="974">
        <f t="shared" si="8"/>
        <v>0.61111111111111105</v>
      </c>
      <c r="BL23" s="947">
        <v>11</v>
      </c>
      <c r="BM23" s="963">
        <f t="shared" si="9"/>
        <v>19507.255624999998</v>
      </c>
      <c r="BN23" s="974">
        <f t="shared" si="10"/>
        <v>0.66666666666666663</v>
      </c>
      <c r="BO23" s="947">
        <v>12</v>
      </c>
      <c r="BP23" s="947">
        <f t="shared" si="11"/>
        <v>17024.513999999999</v>
      </c>
      <c r="BQ23" s="947">
        <f t="shared" si="12"/>
        <v>0</v>
      </c>
      <c r="BR23" s="947"/>
      <c r="BS23" s="947">
        <f t="shared" si="13"/>
        <v>0</v>
      </c>
      <c r="BT23" s="947">
        <f t="shared" si="14"/>
        <v>0</v>
      </c>
      <c r="BU23" s="947"/>
      <c r="BV23" s="947">
        <f t="shared" si="15"/>
        <v>0</v>
      </c>
      <c r="BW23" s="947">
        <f t="shared" si="16"/>
        <v>0</v>
      </c>
      <c r="BX23" s="947"/>
      <c r="BY23" s="947"/>
    </row>
    <row r="24" spans="1:77" s="773" customFormat="1" ht="15.75" customHeight="1">
      <c r="A24" s="947">
        <v>8</v>
      </c>
      <c r="B24" s="947" t="s">
        <v>652</v>
      </c>
      <c r="C24" s="947" t="s">
        <v>403</v>
      </c>
      <c r="D24" s="941" t="s">
        <v>581</v>
      </c>
      <c r="E24" s="947" t="s">
        <v>622</v>
      </c>
      <c r="F24" s="953" t="s">
        <v>374</v>
      </c>
      <c r="G24" s="951">
        <v>17697</v>
      </c>
      <c r="H24" s="951">
        <v>5.03</v>
      </c>
      <c r="I24" s="952">
        <f t="shared" si="4"/>
        <v>89015.91</v>
      </c>
      <c r="J24" s="953">
        <v>18</v>
      </c>
      <c r="K24" s="953">
        <v>18</v>
      </c>
      <c r="L24" s="954">
        <f t="shared" si="5"/>
        <v>0.55555555555555558</v>
      </c>
      <c r="M24" s="954"/>
      <c r="N24" s="958">
        <v>2</v>
      </c>
      <c r="O24" s="958">
        <v>5</v>
      </c>
      <c r="P24" s="958">
        <v>3</v>
      </c>
      <c r="Q24" s="958"/>
      <c r="R24" s="952">
        <f t="shared" si="18"/>
        <v>9890.6566666666677</v>
      </c>
      <c r="S24" s="952">
        <f t="shared" si="1"/>
        <v>24726.64166666667</v>
      </c>
      <c r="T24" s="952">
        <f t="shared" si="2"/>
        <v>14835.985000000001</v>
      </c>
      <c r="U24" s="952">
        <f t="shared" si="17"/>
        <v>12363.320833333335</v>
      </c>
      <c r="V24" s="955">
        <v>0.1</v>
      </c>
      <c r="W24" s="955">
        <v>0.2</v>
      </c>
      <c r="X24" s="956">
        <v>0.125</v>
      </c>
      <c r="Y24" s="955">
        <v>0.25</v>
      </c>
      <c r="Z24" s="955">
        <v>0.15</v>
      </c>
      <c r="AA24" s="955">
        <v>0.3</v>
      </c>
      <c r="AB24" s="958"/>
      <c r="AC24" s="957"/>
      <c r="AD24" s="957"/>
      <c r="AE24" s="958"/>
      <c r="AF24" s="958"/>
      <c r="AG24" s="959"/>
      <c r="AH24" s="959">
        <f t="shared" si="3"/>
        <v>0</v>
      </c>
      <c r="AI24" s="958"/>
      <c r="AJ24" s="959">
        <f t="shared" si="19"/>
        <v>0</v>
      </c>
      <c r="AK24" s="959"/>
      <c r="AL24" s="959">
        <f t="shared" si="20"/>
        <v>0</v>
      </c>
      <c r="AM24" s="953"/>
      <c r="AN24" s="958"/>
      <c r="AO24" s="953"/>
      <c r="AP24" s="958"/>
      <c r="AQ24" s="953"/>
      <c r="AR24" s="958"/>
      <c r="AS24" s="953"/>
      <c r="AT24" s="958"/>
      <c r="AU24" s="958"/>
      <c r="AV24" s="957"/>
      <c r="AW24" s="958"/>
      <c r="AX24" s="958"/>
      <c r="AY24" s="958"/>
      <c r="AZ24" s="958"/>
      <c r="BA24" s="958"/>
      <c r="BB24" s="957"/>
      <c r="BC24" s="957">
        <v>1</v>
      </c>
      <c r="BD24" s="957">
        <f>((G24*40%)/18)*BC24</f>
        <v>393.26666666666665</v>
      </c>
      <c r="BE24" s="957">
        <f t="shared" si="6"/>
        <v>6181.6604166666675</v>
      </c>
      <c r="BF24" s="957">
        <f t="shared" si="7"/>
        <v>68391.53125</v>
      </c>
      <c r="BG24" s="949"/>
      <c r="BH24" s="961">
        <v>0.3</v>
      </c>
      <c r="BI24" s="961">
        <v>0.35</v>
      </c>
      <c r="BJ24" s="961">
        <v>0.4</v>
      </c>
      <c r="BK24" s="974">
        <f t="shared" si="8"/>
        <v>0.5</v>
      </c>
      <c r="BL24" s="947">
        <v>9</v>
      </c>
      <c r="BM24" s="963">
        <f t="shared" si="9"/>
        <v>16690.483125000002</v>
      </c>
      <c r="BN24" s="947">
        <f t="shared" si="10"/>
        <v>0</v>
      </c>
      <c r="BO24" s="947"/>
      <c r="BP24" s="947">
        <f t="shared" si="11"/>
        <v>0</v>
      </c>
      <c r="BQ24" s="974">
        <f t="shared" si="12"/>
        <v>0.55555555555555558</v>
      </c>
      <c r="BR24" s="947">
        <v>10</v>
      </c>
      <c r="BS24" s="947">
        <f t="shared" si="13"/>
        <v>17308.649166666662</v>
      </c>
      <c r="BT24" s="947">
        <f t="shared" si="14"/>
        <v>0</v>
      </c>
      <c r="BU24" s="947"/>
      <c r="BV24" s="947">
        <f t="shared" si="15"/>
        <v>0</v>
      </c>
      <c r="BW24" s="947">
        <f t="shared" si="16"/>
        <v>1</v>
      </c>
      <c r="BX24" s="947">
        <v>18</v>
      </c>
      <c r="BY24" s="947">
        <f>17697*200%</f>
        <v>35394</v>
      </c>
    </row>
    <row r="25" spans="1:77" s="773" customFormat="1" ht="15.75" customHeight="1">
      <c r="A25" s="947"/>
      <c r="B25" s="947" t="s">
        <v>372</v>
      </c>
      <c r="C25" s="947" t="s">
        <v>403</v>
      </c>
      <c r="D25" s="941" t="s">
        <v>581</v>
      </c>
      <c r="E25" s="947" t="s">
        <v>622</v>
      </c>
      <c r="F25" s="953" t="s">
        <v>374</v>
      </c>
      <c r="G25" s="951">
        <v>17697</v>
      </c>
      <c r="H25" s="951">
        <v>5.03</v>
      </c>
      <c r="I25" s="952">
        <f t="shared" si="4"/>
        <v>89015.91</v>
      </c>
      <c r="J25" s="953">
        <v>18</v>
      </c>
      <c r="K25" s="953">
        <v>18</v>
      </c>
      <c r="L25" s="954">
        <f t="shared" si="5"/>
        <v>0.44444444444444442</v>
      </c>
      <c r="M25" s="954"/>
      <c r="N25" s="958"/>
      <c r="O25" s="958">
        <v>3</v>
      </c>
      <c r="P25" s="958">
        <v>5</v>
      </c>
      <c r="Q25" s="958"/>
      <c r="R25" s="952">
        <f t="shared" si="18"/>
        <v>0</v>
      </c>
      <c r="S25" s="952">
        <f t="shared" si="1"/>
        <v>14835.985000000001</v>
      </c>
      <c r="T25" s="952">
        <f t="shared" si="2"/>
        <v>24726.64166666667</v>
      </c>
      <c r="U25" s="952">
        <f t="shared" si="17"/>
        <v>9890.6566666666677</v>
      </c>
      <c r="V25" s="955">
        <v>0.1</v>
      </c>
      <c r="W25" s="955">
        <v>0.2</v>
      </c>
      <c r="X25" s="956">
        <v>0.125</v>
      </c>
      <c r="Y25" s="955">
        <v>0.25</v>
      </c>
      <c r="Z25" s="955">
        <v>0.15</v>
      </c>
      <c r="AA25" s="955">
        <v>0.3</v>
      </c>
      <c r="AB25" s="958"/>
      <c r="AC25" s="957"/>
      <c r="AD25" s="957"/>
      <c r="AE25" s="958"/>
      <c r="AF25" s="958"/>
      <c r="AG25" s="959"/>
      <c r="AH25" s="959">
        <f t="shared" si="3"/>
        <v>0</v>
      </c>
      <c r="AI25" s="958"/>
      <c r="AJ25" s="959">
        <f t="shared" si="19"/>
        <v>0</v>
      </c>
      <c r="AK25" s="959"/>
      <c r="AL25" s="959">
        <f t="shared" si="20"/>
        <v>0</v>
      </c>
      <c r="AM25" s="953"/>
      <c r="AN25" s="958"/>
      <c r="AO25" s="953"/>
      <c r="AP25" s="958"/>
      <c r="AQ25" s="953"/>
      <c r="AR25" s="958"/>
      <c r="AS25" s="953"/>
      <c r="AT25" s="958"/>
      <c r="AU25" s="958"/>
      <c r="AV25" s="957"/>
      <c r="AW25" s="958"/>
      <c r="AX25" s="958"/>
      <c r="AY25" s="958"/>
      <c r="AZ25" s="958"/>
      <c r="BA25" s="958"/>
      <c r="BB25" s="957"/>
      <c r="BC25" s="957"/>
      <c r="BD25" s="957"/>
      <c r="BE25" s="957">
        <f t="shared" si="6"/>
        <v>4945.3283333333347</v>
      </c>
      <c r="BF25" s="957">
        <f t="shared" si="7"/>
        <v>54398.611666666679</v>
      </c>
      <c r="BG25" s="949"/>
      <c r="BH25" s="961">
        <v>0.3</v>
      </c>
      <c r="BI25" s="961">
        <v>0.35</v>
      </c>
      <c r="BJ25" s="961">
        <v>0.4</v>
      </c>
      <c r="BK25" s="974">
        <f t="shared" si="8"/>
        <v>0.44444444444444442</v>
      </c>
      <c r="BL25" s="947">
        <v>8</v>
      </c>
      <c r="BM25" s="963">
        <f t="shared" si="9"/>
        <v>14835.985000000002</v>
      </c>
      <c r="BN25" s="947">
        <f t="shared" si="10"/>
        <v>0</v>
      </c>
      <c r="BO25" s="947"/>
      <c r="BP25" s="947">
        <f t="shared" si="11"/>
        <v>0</v>
      </c>
      <c r="BQ25" s="947">
        <f t="shared" si="12"/>
        <v>0</v>
      </c>
      <c r="BR25" s="947"/>
      <c r="BS25" s="947">
        <f t="shared" si="13"/>
        <v>0</v>
      </c>
      <c r="BT25" s="947">
        <f t="shared" si="14"/>
        <v>0</v>
      </c>
      <c r="BU25" s="947"/>
      <c r="BV25" s="947">
        <f t="shared" si="15"/>
        <v>0</v>
      </c>
      <c r="BW25" s="947">
        <f t="shared" si="16"/>
        <v>0</v>
      </c>
      <c r="BX25" s="947"/>
      <c r="BY25" s="947"/>
    </row>
    <row r="26" spans="1:77" s="773" customFormat="1" ht="15.75" customHeight="1">
      <c r="A26" s="947">
        <v>9</v>
      </c>
      <c r="B26" s="947" t="s">
        <v>575</v>
      </c>
      <c r="C26" s="947" t="s">
        <v>403</v>
      </c>
      <c r="D26" s="941" t="s">
        <v>581</v>
      </c>
      <c r="E26" s="947" t="s">
        <v>623</v>
      </c>
      <c r="F26" s="953" t="s">
        <v>374</v>
      </c>
      <c r="G26" s="951">
        <v>17697</v>
      </c>
      <c r="H26" s="951">
        <v>5.2</v>
      </c>
      <c r="I26" s="952">
        <f t="shared" si="4"/>
        <v>92024.400000000009</v>
      </c>
      <c r="J26" s="953">
        <v>18</v>
      </c>
      <c r="K26" s="953">
        <v>18</v>
      </c>
      <c r="L26" s="954">
        <f t="shared" si="5"/>
        <v>0.88888888888888884</v>
      </c>
      <c r="M26" s="958">
        <v>1</v>
      </c>
      <c r="N26" s="958">
        <v>4</v>
      </c>
      <c r="O26" s="958">
        <v>12</v>
      </c>
      <c r="P26" s="958"/>
      <c r="Q26" s="952">
        <f>G26/H26*M26</f>
        <v>3403.2692307692305</v>
      </c>
      <c r="R26" s="952">
        <f t="shared" si="18"/>
        <v>20449.866666666669</v>
      </c>
      <c r="S26" s="952">
        <f t="shared" si="1"/>
        <v>61349.600000000006</v>
      </c>
      <c r="T26" s="952">
        <f t="shared" si="2"/>
        <v>0</v>
      </c>
      <c r="U26" s="952">
        <f t="shared" si="17"/>
        <v>20449.866666666669</v>
      </c>
      <c r="V26" s="955"/>
      <c r="W26" s="955"/>
      <c r="X26" s="956"/>
      <c r="Y26" s="955"/>
      <c r="Z26" s="955"/>
      <c r="AA26" s="955"/>
      <c r="AB26" s="958"/>
      <c r="AC26" s="957">
        <v>4</v>
      </c>
      <c r="AD26" s="957">
        <v>6</v>
      </c>
      <c r="AE26" s="958"/>
      <c r="AF26" s="958">
        <v>5</v>
      </c>
      <c r="AG26" s="959"/>
      <c r="AH26" s="959">
        <f t="shared" si="3"/>
        <v>0</v>
      </c>
      <c r="AI26" s="957">
        <v>3539</v>
      </c>
      <c r="AJ26" s="959">
        <f t="shared" si="19"/>
        <v>589.9</v>
      </c>
      <c r="AK26" s="959"/>
      <c r="AL26" s="959">
        <f t="shared" si="20"/>
        <v>491.58333333333331</v>
      </c>
      <c r="AM26" s="953"/>
      <c r="AN26" s="958"/>
      <c r="AO26" s="953"/>
      <c r="AP26" s="958"/>
      <c r="AQ26" s="953"/>
      <c r="AR26" s="958"/>
      <c r="AS26" s="953"/>
      <c r="AT26" s="958"/>
      <c r="AU26" s="958"/>
      <c r="AV26" s="957"/>
      <c r="AW26" s="958"/>
      <c r="AX26" s="958"/>
      <c r="AY26" s="958"/>
      <c r="AZ26" s="958"/>
      <c r="BA26" s="958"/>
      <c r="BB26" s="957"/>
      <c r="BC26" s="957">
        <v>2</v>
      </c>
      <c r="BD26" s="957">
        <f>((G26*40%)/18)*BC26</f>
        <v>786.5333333333333</v>
      </c>
      <c r="BE26" s="957">
        <f t="shared" si="6"/>
        <v>10224.933333333334</v>
      </c>
      <c r="BF26" s="957">
        <f t="shared" si="7"/>
        <v>117881.28333333334</v>
      </c>
      <c r="BG26" s="949"/>
      <c r="BH26" s="961">
        <v>0.3</v>
      </c>
      <c r="BI26" s="961">
        <v>0.35</v>
      </c>
      <c r="BJ26" s="961">
        <v>0.4</v>
      </c>
      <c r="BK26" s="974">
        <f t="shared" si="8"/>
        <v>0.88888888888888884</v>
      </c>
      <c r="BL26" s="947">
        <v>16</v>
      </c>
      <c r="BM26" s="963">
        <f t="shared" si="9"/>
        <v>30674.800000000003</v>
      </c>
      <c r="BN26" s="947">
        <f t="shared" si="10"/>
        <v>0</v>
      </c>
      <c r="BO26" s="947"/>
      <c r="BP26" s="947">
        <f t="shared" si="11"/>
        <v>0</v>
      </c>
      <c r="BQ26" s="947">
        <f t="shared" si="12"/>
        <v>0</v>
      </c>
      <c r="BR26" s="947"/>
      <c r="BS26" s="947">
        <f t="shared" si="13"/>
        <v>0</v>
      </c>
      <c r="BT26" s="947">
        <f t="shared" si="14"/>
        <v>0</v>
      </c>
      <c r="BU26" s="947"/>
      <c r="BV26" s="947">
        <f t="shared" si="15"/>
        <v>0</v>
      </c>
      <c r="BW26" s="947">
        <f t="shared" si="16"/>
        <v>0</v>
      </c>
      <c r="BX26" s="947"/>
      <c r="BY26" s="947"/>
    </row>
    <row r="27" spans="1:77" s="773" customFormat="1" ht="15.75" customHeight="1">
      <c r="A27" s="947">
        <v>10</v>
      </c>
      <c r="B27" s="947" t="s">
        <v>644</v>
      </c>
      <c r="C27" s="947" t="s">
        <v>403</v>
      </c>
      <c r="D27" s="941" t="s">
        <v>585</v>
      </c>
      <c r="E27" s="947" t="s">
        <v>624</v>
      </c>
      <c r="F27" s="953" t="s">
        <v>401</v>
      </c>
      <c r="G27" s="951">
        <v>17697</v>
      </c>
      <c r="H27" s="951">
        <v>5.41</v>
      </c>
      <c r="I27" s="952">
        <f t="shared" si="4"/>
        <v>95740.77</v>
      </c>
      <c r="J27" s="953">
        <v>18</v>
      </c>
      <c r="K27" s="953">
        <v>18</v>
      </c>
      <c r="L27" s="954">
        <f t="shared" si="5"/>
        <v>0.5</v>
      </c>
      <c r="M27" s="954"/>
      <c r="N27" s="958">
        <v>2</v>
      </c>
      <c r="O27" s="958">
        <v>5</v>
      </c>
      <c r="P27" s="958">
        <v>2</v>
      </c>
      <c r="Q27" s="958"/>
      <c r="R27" s="952">
        <f t="shared" si="18"/>
        <v>10637.863333333335</v>
      </c>
      <c r="S27" s="952">
        <f t="shared" si="1"/>
        <v>26594.658333333336</v>
      </c>
      <c r="T27" s="952">
        <f t="shared" si="2"/>
        <v>10637.863333333335</v>
      </c>
      <c r="U27" s="952">
        <f t="shared" si="17"/>
        <v>11967.596250000001</v>
      </c>
      <c r="V27" s="955">
        <v>0.1</v>
      </c>
      <c r="W27" s="955">
        <v>0.2</v>
      </c>
      <c r="X27" s="956">
        <v>0.125</v>
      </c>
      <c r="Y27" s="955">
        <v>0.25</v>
      </c>
      <c r="Z27" s="955">
        <v>0.15</v>
      </c>
      <c r="AA27" s="955">
        <v>0.3</v>
      </c>
      <c r="AB27" s="958">
        <v>2</v>
      </c>
      <c r="AC27" s="958"/>
      <c r="AD27" s="957"/>
      <c r="AE27" s="958"/>
      <c r="AF27" s="958"/>
      <c r="AG27" s="959"/>
      <c r="AH27" s="959">
        <f>G27*25%/18*AB27*50%</f>
        <v>245.79166666666666</v>
      </c>
      <c r="AI27" s="958"/>
      <c r="AJ27" s="959">
        <f t="shared" si="19"/>
        <v>0</v>
      </c>
      <c r="AK27" s="959"/>
      <c r="AL27" s="959">
        <f t="shared" si="20"/>
        <v>0</v>
      </c>
      <c r="AM27" s="953"/>
      <c r="AN27" s="958">
        <v>0</v>
      </c>
      <c r="AO27" s="959">
        <f>G27*Y27/K27*AN27</f>
        <v>0</v>
      </c>
      <c r="AP27" s="958"/>
      <c r="AQ27" s="953"/>
      <c r="AR27" s="958"/>
      <c r="AS27" s="953"/>
      <c r="AT27" s="957"/>
      <c r="AU27" s="960"/>
      <c r="AV27" s="957"/>
      <c r="AW27" s="958"/>
      <c r="AX27" s="958"/>
      <c r="AY27" s="958"/>
      <c r="AZ27" s="958"/>
      <c r="BA27" s="958"/>
      <c r="BB27" s="957"/>
      <c r="BC27" s="957"/>
      <c r="BD27" s="957"/>
      <c r="BE27" s="957">
        <f t="shared" si="6"/>
        <v>5983.7981250000012</v>
      </c>
      <c r="BF27" s="957">
        <f t="shared" si="7"/>
        <v>66067.57104166667</v>
      </c>
      <c r="BG27" s="949"/>
      <c r="BH27" s="961">
        <v>0.3</v>
      </c>
      <c r="BI27" s="961">
        <v>0.35</v>
      </c>
      <c r="BJ27" s="961">
        <v>0.4</v>
      </c>
      <c r="BK27" s="974">
        <f t="shared" si="8"/>
        <v>0.44444444444444442</v>
      </c>
      <c r="BL27" s="947">
        <v>8</v>
      </c>
      <c r="BM27" s="963">
        <f t="shared" si="9"/>
        <v>15956.795</v>
      </c>
      <c r="BN27" s="947">
        <f t="shared" si="10"/>
        <v>0</v>
      </c>
      <c r="BO27" s="947"/>
      <c r="BP27" s="947">
        <f t="shared" si="11"/>
        <v>0</v>
      </c>
      <c r="BQ27" s="947">
        <f t="shared" si="12"/>
        <v>0</v>
      </c>
      <c r="BR27" s="947"/>
      <c r="BS27" s="947">
        <f t="shared" si="13"/>
        <v>0</v>
      </c>
      <c r="BT27" s="947">
        <f t="shared" si="14"/>
        <v>0</v>
      </c>
      <c r="BU27" s="947"/>
      <c r="BV27" s="947">
        <f t="shared" si="15"/>
        <v>0</v>
      </c>
      <c r="BW27" s="947">
        <f t="shared" si="16"/>
        <v>0</v>
      </c>
      <c r="BX27" s="947"/>
      <c r="BY27" s="947"/>
    </row>
    <row r="28" spans="1:77" s="773" customFormat="1" ht="15.75" customHeight="1">
      <c r="A28" s="947">
        <v>11</v>
      </c>
      <c r="B28" s="947" t="s">
        <v>33</v>
      </c>
      <c r="C28" s="947" t="s">
        <v>647</v>
      </c>
      <c r="D28" s="941" t="s">
        <v>584</v>
      </c>
      <c r="E28" s="947" t="s">
        <v>625</v>
      </c>
      <c r="F28" s="953" t="s">
        <v>355</v>
      </c>
      <c r="G28" s="951">
        <v>17697</v>
      </c>
      <c r="H28" s="975">
        <v>3.41</v>
      </c>
      <c r="I28" s="952">
        <f t="shared" si="4"/>
        <v>60346.770000000004</v>
      </c>
      <c r="J28" s="953">
        <v>18</v>
      </c>
      <c r="K28" s="953">
        <v>18</v>
      </c>
      <c r="L28" s="954">
        <f t="shared" si="5"/>
        <v>0.66666666666666663</v>
      </c>
      <c r="M28" s="954"/>
      <c r="N28" s="958"/>
      <c r="O28" s="958">
        <v>9</v>
      </c>
      <c r="P28" s="958">
        <v>3</v>
      </c>
      <c r="Q28" s="958"/>
      <c r="R28" s="952">
        <f t="shared" si="18"/>
        <v>0</v>
      </c>
      <c r="S28" s="952">
        <f t="shared" si="1"/>
        <v>30173.385000000002</v>
      </c>
      <c r="T28" s="952">
        <f t="shared" si="2"/>
        <v>10057.795</v>
      </c>
      <c r="U28" s="952">
        <f t="shared" si="17"/>
        <v>10057.795</v>
      </c>
      <c r="V28" s="955">
        <v>0.1</v>
      </c>
      <c r="W28" s="955">
        <v>0.2</v>
      </c>
      <c r="X28" s="956">
        <v>0.125</v>
      </c>
      <c r="Y28" s="955">
        <v>0.25</v>
      </c>
      <c r="Z28" s="955">
        <v>0.15</v>
      </c>
      <c r="AA28" s="955">
        <v>0.3</v>
      </c>
      <c r="AB28" s="957"/>
      <c r="AC28" s="957"/>
      <c r="AD28" s="957"/>
      <c r="AE28" s="958"/>
      <c r="AF28" s="958"/>
      <c r="AG28" s="959"/>
      <c r="AH28" s="959">
        <f t="shared" ref="AH28:AH35" si="21">G28*20%/18*AB28*50%</f>
        <v>0</v>
      </c>
      <c r="AI28" s="957"/>
      <c r="AJ28" s="959">
        <f t="shared" si="19"/>
        <v>0</v>
      </c>
      <c r="AK28" s="959"/>
      <c r="AL28" s="959">
        <f t="shared" si="20"/>
        <v>0</v>
      </c>
      <c r="AM28" s="953"/>
      <c r="AN28" s="958"/>
      <c r="AO28" s="953"/>
      <c r="AP28" s="958"/>
      <c r="AQ28" s="953"/>
      <c r="AR28" s="958"/>
      <c r="AS28" s="953"/>
      <c r="AT28" s="957"/>
      <c r="AU28" s="960"/>
      <c r="AV28" s="960">
        <v>2655</v>
      </c>
      <c r="AW28" s="958"/>
      <c r="AX28" s="958"/>
      <c r="AY28" s="958"/>
      <c r="AZ28" s="958">
        <v>1770</v>
      </c>
      <c r="BA28" s="957">
        <v>3539</v>
      </c>
      <c r="BB28" s="957"/>
      <c r="BC28" s="957"/>
      <c r="BD28" s="957"/>
      <c r="BE28" s="957">
        <f t="shared" si="6"/>
        <v>5028.8975</v>
      </c>
      <c r="BF28" s="957">
        <f t="shared" si="7"/>
        <v>63281.872499999998</v>
      </c>
      <c r="BG28" s="949"/>
      <c r="BH28" s="961">
        <v>0.3</v>
      </c>
      <c r="BI28" s="961">
        <v>0.35</v>
      </c>
      <c r="BJ28" s="961">
        <v>0.4</v>
      </c>
      <c r="BK28" s="974">
        <f t="shared" si="8"/>
        <v>0.61111111111111105</v>
      </c>
      <c r="BL28" s="947">
        <v>11</v>
      </c>
      <c r="BM28" s="963">
        <f t="shared" si="9"/>
        <v>13829.468125000003</v>
      </c>
      <c r="BN28" s="947">
        <f t="shared" si="10"/>
        <v>0</v>
      </c>
      <c r="BO28" s="947"/>
      <c r="BP28" s="947">
        <f t="shared" si="11"/>
        <v>0</v>
      </c>
      <c r="BQ28" s="947">
        <f t="shared" si="12"/>
        <v>0</v>
      </c>
      <c r="BR28" s="947"/>
      <c r="BS28" s="947">
        <f t="shared" si="13"/>
        <v>0</v>
      </c>
      <c r="BT28" s="947">
        <f t="shared" si="14"/>
        <v>0</v>
      </c>
      <c r="BU28" s="947"/>
      <c r="BV28" s="947">
        <f t="shared" si="15"/>
        <v>0</v>
      </c>
      <c r="BW28" s="947">
        <f t="shared" si="16"/>
        <v>0</v>
      </c>
      <c r="BX28" s="947"/>
      <c r="BY28" s="947"/>
    </row>
    <row r="29" spans="1:77" s="773" customFormat="1" ht="15.75" customHeight="1">
      <c r="A29" s="947">
        <v>12</v>
      </c>
      <c r="B29" s="947" t="s">
        <v>450</v>
      </c>
      <c r="C29" s="947" t="s">
        <v>403</v>
      </c>
      <c r="D29" s="941" t="s">
        <v>582</v>
      </c>
      <c r="E29" s="947" t="s">
        <v>626</v>
      </c>
      <c r="F29" s="953" t="s">
        <v>355</v>
      </c>
      <c r="G29" s="951">
        <v>17697</v>
      </c>
      <c r="H29" s="975">
        <v>4.1900000000000004</v>
      </c>
      <c r="I29" s="952">
        <f t="shared" si="4"/>
        <v>74150.430000000008</v>
      </c>
      <c r="J29" s="953">
        <v>18</v>
      </c>
      <c r="K29" s="953">
        <v>18</v>
      </c>
      <c r="L29" s="954">
        <f t="shared" si="5"/>
        <v>0.77777777777777768</v>
      </c>
      <c r="M29" s="954"/>
      <c r="N29" s="958"/>
      <c r="O29" s="958">
        <v>10</v>
      </c>
      <c r="P29" s="958">
        <v>4</v>
      </c>
      <c r="Q29" s="958"/>
      <c r="R29" s="952">
        <f t="shared" si="18"/>
        <v>0</v>
      </c>
      <c r="S29" s="952">
        <f t="shared" si="1"/>
        <v>41194.683333333342</v>
      </c>
      <c r="T29" s="952">
        <f t="shared" si="2"/>
        <v>16477.873333333337</v>
      </c>
      <c r="U29" s="952">
        <f t="shared" si="17"/>
        <v>14418.13916666667</v>
      </c>
      <c r="V29" s="955">
        <v>0.1</v>
      </c>
      <c r="W29" s="955">
        <v>0.2</v>
      </c>
      <c r="X29" s="956">
        <v>0.125</v>
      </c>
      <c r="Y29" s="955">
        <v>0.25</v>
      </c>
      <c r="Z29" s="955">
        <v>0.15</v>
      </c>
      <c r="AA29" s="955">
        <v>0.3</v>
      </c>
      <c r="AB29" s="957"/>
      <c r="AC29" s="957"/>
      <c r="AD29" s="957"/>
      <c r="AE29" s="958"/>
      <c r="AF29" s="958"/>
      <c r="AG29" s="959"/>
      <c r="AH29" s="959">
        <f t="shared" si="21"/>
        <v>0</v>
      </c>
      <c r="AI29" s="957"/>
      <c r="AJ29" s="959">
        <f t="shared" si="19"/>
        <v>0</v>
      </c>
      <c r="AK29" s="959"/>
      <c r="AL29" s="959">
        <f t="shared" si="20"/>
        <v>0</v>
      </c>
      <c r="AM29" s="953"/>
      <c r="AN29" s="958"/>
      <c r="AO29" s="953"/>
      <c r="AP29" s="958"/>
      <c r="AQ29" s="953"/>
      <c r="AR29" s="958"/>
      <c r="AS29" s="953"/>
      <c r="AT29" s="957"/>
      <c r="AU29" s="960"/>
      <c r="AV29" s="960"/>
      <c r="AW29" s="958"/>
      <c r="AX29" s="958"/>
      <c r="AY29" s="958"/>
      <c r="AZ29" s="958"/>
      <c r="BA29" s="957"/>
      <c r="BB29" s="957"/>
      <c r="BC29" s="957"/>
      <c r="BD29" s="957"/>
      <c r="BE29" s="957">
        <f t="shared" si="6"/>
        <v>7209.0695833333348</v>
      </c>
      <c r="BF29" s="957">
        <f t="shared" si="7"/>
        <v>79299.765416666676</v>
      </c>
      <c r="BG29" s="949"/>
      <c r="BH29" s="961">
        <v>0.3</v>
      </c>
      <c r="BI29" s="961">
        <v>0.35</v>
      </c>
      <c r="BJ29" s="961">
        <v>0.4</v>
      </c>
      <c r="BK29" s="974">
        <f t="shared" si="8"/>
        <v>0.61111111111111105</v>
      </c>
      <c r="BL29" s="947">
        <v>11</v>
      </c>
      <c r="BM29" s="963">
        <f t="shared" si="9"/>
        <v>16992.806875000002</v>
      </c>
      <c r="BN29" s="947">
        <f t="shared" si="10"/>
        <v>0</v>
      </c>
      <c r="BO29" s="947"/>
      <c r="BP29" s="947">
        <f t="shared" si="11"/>
        <v>0</v>
      </c>
      <c r="BQ29" s="947">
        <f t="shared" si="12"/>
        <v>0</v>
      </c>
      <c r="BR29" s="947"/>
      <c r="BS29" s="947">
        <f t="shared" si="13"/>
        <v>0</v>
      </c>
      <c r="BT29" s="947">
        <f t="shared" si="14"/>
        <v>0</v>
      </c>
      <c r="BU29" s="947"/>
      <c r="BV29" s="947">
        <f t="shared" si="15"/>
        <v>0</v>
      </c>
      <c r="BW29" s="947">
        <f t="shared" si="16"/>
        <v>0</v>
      </c>
      <c r="BX29" s="947"/>
      <c r="BY29" s="947"/>
    </row>
    <row r="30" spans="1:77" s="773" customFormat="1" ht="15.75" customHeight="1">
      <c r="A30" s="947">
        <v>13</v>
      </c>
      <c r="B30" s="947" t="s">
        <v>393</v>
      </c>
      <c r="C30" s="947" t="s">
        <v>403</v>
      </c>
      <c r="D30" s="941" t="s">
        <v>585</v>
      </c>
      <c r="E30" s="947" t="s">
        <v>605</v>
      </c>
      <c r="F30" s="953" t="s">
        <v>401</v>
      </c>
      <c r="G30" s="951">
        <v>17697</v>
      </c>
      <c r="H30" s="951">
        <v>5.41</v>
      </c>
      <c r="I30" s="952">
        <f t="shared" si="4"/>
        <v>95740.77</v>
      </c>
      <c r="J30" s="953">
        <v>18</v>
      </c>
      <c r="K30" s="953">
        <v>18</v>
      </c>
      <c r="L30" s="954">
        <f t="shared" si="5"/>
        <v>1.0555555555555556</v>
      </c>
      <c r="M30" s="954"/>
      <c r="N30" s="958">
        <v>19</v>
      </c>
      <c r="O30" s="958"/>
      <c r="P30" s="958"/>
      <c r="Q30" s="958"/>
      <c r="R30" s="952">
        <f t="shared" si="18"/>
        <v>101059.70166666668</v>
      </c>
      <c r="S30" s="952">
        <f t="shared" si="1"/>
        <v>0</v>
      </c>
      <c r="T30" s="952">
        <f t="shared" si="2"/>
        <v>0</v>
      </c>
      <c r="U30" s="952">
        <f t="shared" si="17"/>
        <v>25264.925416666669</v>
      </c>
      <c r="V30" s="955">
        <v>0.1</v>
      </c>
      <c r="W30" s="955">
        <v>0.2</v>
      </c>
      <c r="X30" s="956">
        <v>0.125</v>
      </c>
      <c r="Y30" s="955">
        <v>0.25</v>
      </c>
      <c r="Z30" s="955">
        <v>0.15</v>
      </c>
      <c r="AA30" s="955">
        <v>0.3</v>
      </c>
      <c r="AB30" s="957">
        <v>19</v>
      </c>
      <c r="AC30" s="957"/>
      <c r="AD30" s="957"/>
      <c r="AE30" s="958"/>
      <c r="AF30" s="958"/>
      <c r="AG30" s="959"/>
      <c r="AH30" s="959">
        <f>G30*25%/18*AB30*50%</f>
        <v>2335.020833333333</v>
      </c>
      <c r="AI30" s="959">
        <f>G30*20%/18*AC30*100%</f>
        <v>0</v>
      </c>
      <c r="AJ30" s="959">
        <f t="shared" si="19"/>
        <v>0</v>
      </c>
      <c r="AK30" s="959"/>
      <c r="AL30" s="959">
        <f t="shared" si="20"/>
        <v>0</v>
      </c>
      <c r="AM30" s="953"/>
      <c r="AN30" s="958"/>
      <c r="AO30" s="953"/>
      <c r="AP30" s="958"/>
      <c r="AQ30" s="953"/>
      <c r="AR30" s="958"/>
      <c r="AS30" s="953"/>
      <c r="AT30" s="957">
        <v>2212</v>
      </c>
      <c r="AU30" s="957"/>
      <c r="AV30" s="957"/>
      <c r="AW30" s="958"/>
      <c r="AX30" s="958"/>
      <c r="AY30" s="958"/>
      <c r="AZ30" s="958"/>
      <c r="BA30" s="958"/>
      <c r="BB30" s="957"/>
      <c r="BC30" s="957">
        <v>5</v>
      </c>
      <c r="BD30" s="957">
        <f>((G30*40%)/18)*BC30</f>
        <v>1966.3333333333333</v>
      </c>
      <c r="BE30" s="957">
        <f t="shared" si="6"/>
        <v>12632.462708333334</v>
      </c>
      <c r="BF30" s="957">
        <f t="shared" si="7"/>
        <v>145470.44395833334</v>
      </c>
      <c r="BG30" s="949"/>
      <c r="BH30" s="961">
        <v>0.3</v>
      </c>
      <c r="BI30" s="961">
        <v>0.35</v>
      </c>
      <c r="BJ30" s="961">
        <v>0.4</v>
      </c>
      <c r="BK30" s="974">
        <f t="shared" si="8"/>
        <v>1.0555555555555556</v>
      </c>
      <c r="BL30" s="947">
        <v>19</v>
      </c>
      <c r="BM30" s="963">
        <f t="shared" si="9"/>
        <v>37897.388124999998</v>
      </c>
      <c r="BN30" s="947">
        <f t="shared" si="10"/>
        <v>0</v>
      </c>
      <c r="BO30" s="947"/>
      <c r="BP30" s="947">
        <f t="shared" si="11"/>
        <v>0</v>
      </c>
      <c r="BQ30" s="947">
        <f t="shared" si="12"/>
        <v>0</v>
      </c>
      <c r="BR30" s="947"/>
      <c r="BS30" s="947">
        <f t="shared" si="13"/>
        <v>0</v>
      </c>
      <c r="BT30" s="974">
        <f t="shared" si="14"/>
        <v>1.0555555555555556</v>
      </c>
      <c r="BU30" s="947">
        <v>19</v>
      </c>
      <c r="BV30" s="947">
        <f t="shared" si="15"/>
        <v>40423.880666666671</v>
      </c>
      <c r="BW30" s="947">
        <f t="shared" si="16"/>
        <v>0</v>
      </c>
      <c r="BX30" s="947"/>
      <c r="BY30" s="947"/>
    </row>
    <row r="31" spans="1:77" s="773" customFormat="1" ht="15.75" customHeight="1">
      <c r="A31" s="947">
        <v>14</v>
      </c>
      <c r="B31" s="947" t="s">
        <v>640</v>
      </c>
      <c r="C31" s="947" t="s">
        <v>403</v>
      </c>
      <c r="D31" s="976" t="s">
        <v>582</v>
      </c>
      <c r="E31" s="977" t="s">
        <v>633</v>
      </c>
      <c r="F31" s="972" t="s">
        <v>355</v>
      </c>
      <c r="G31" s="951">
        <v>17697</v>
      </c>
      <c r="H31" s="951">
        <v>4.67</v>
      </c>
      <c r="I31" s="952">
        <f t="shared" si="4"/>
        <v>82644.990000000005</v>
      </c>
      <c r="J31" s="953">
        <v>18</v>
      </c>
      <c r="K31" s="953">
        <v>18</v>
      </c>
      <c r="L31" s="954">
        <f t="shared" si="5"/>
        <v>0.5</v>
      </c>
      <c r="M31" s="954"/>
      <c r="N31" s="958">
        <v>9</v>
      </c>
      <c r="O31" s="958"/>
      <c r="P31" s="958"/>
      <c r="Q31" s="958"/>
      <c r="R31" s="952">
        <f t="shared" si="18"/>
        <v>41322.495000000003</v>
      </c>
      <c r="S31" s="952">
        <f t="shared" si="1"/>
        <v>0</v>
      </c>
      <c r="T31" s="952">
        <f t="shared" si="2"/>
        <v>0</v>
      </c>
      <c r="U31" s="952">
        <f t="shared" si="17"/>
        <v>10330.623750000001</v>
      </c>
      <c r="V31" s="955">
        <v>0.1</v>
      </c>
      <c r="W31" s="955">
        <v>0.2</v>
      </c>
      <c r="X31" s="956">
        <v>0.125</v>
      </c>
      <c r="Y31" s="955">
        <v>0.25</v>
      </c>
      <c r="Z31" s="955">
        <v>0.15</v>
      </c>
      <c r="AA31" s="955">
        <v>0.3</v>
      </c>
      <c r="AB31" s="958"/>
      <c r="AC31" s="957">
        <v>9</v>
      </c>
      <c r="AD31" s="957"/>
      <c r="AE31" s="958"/>
      <c r="AF31" s="958"/>
      <c r="AG31" s="959"/>
      <c r="AH31" s="959">
        <f t="shared" si="21"/>
        <v>0</v>
      </c>
      <c r="AI31" s="959">
        <f>G31*20%/18*AC31*100%</f>
        <v>1769.6999999999998</v>
      </c>
      <c r="AJ31" s="959">
        <f t="shared" si="19"/>
        <v>0</v>
      </c>
      <c r="AK31" s="959"/>
      <c r="AL31" s="959">
        <f t="shared" si="20"/>
        <v>0</v>
      </c>
      <c r="AM31" s="953"/>
      <c r="AN31" s="958"/>
      <c r="AO31" s="953"/>
      <c r="AP31" s="958"/>
      <c r="AQ31" s="953"/>
      <c r="AR31" s="958"/>
      <c r="AS31" s="953"/>
      <c r="AT31" s="959"/>
      <c r="AU31" s="958">
        <v>4424</v>
      </c>
      <c r="AV31" s="957"/>
      <c r="AW31" s="958"/>
      <c r="AX31" s="958"/>
      <c r="AY31" s="958"/>
      <c r="AZ31" s="958"/>
      <c r="BA31" s="958"/>
      <c r="BB31" s="957"/>
      <c r="BC31" s="957"/>
      <c r="BD31" s="957"/>
      <c r="BE31" s="957">
        <f t="shared" si="6"/>
        <v>5165.3118750000003</v>
      </c>
      <c r="BF31" s="957">
        <f t="shared" si="7"/>
        <v>63012.130624999998</v>
      </c>
      <c r="BG31" s="949"/>
      <c r="BH31" s="961">
        <v>0.3</v>
      </c>
      <c r="BI31" s="961">
        <v>0.35</v>
      </c>
      <c r="BJ31" s="961">
        <v>0.4</v>
      </c>
      <c r="BK31" s="974">
        <f t="shared" si="8"/>
        <v>0.5</v>
      </c>
      <c r="BL31" s="947">
        <v>9</v>
      </c>
      <c r="BM31" s="963">
        <f t="shared" si="9"/>
        <v>15495.935625000002</v>
      </c>
      <c r="BN31" s="947">
        <f t="shared" si="10"/>
        <v>0</v>
      </c>
      <c r="BO31" s="947"/>
      <c r="BP31" s="947">
        <f t="shared" si="11"/>
        <v>0</v>
      </c>
      <c r="BQ31" s="947">
        <f t="shared" si="12"/>
        <v>0</v>
      </c>
      <c r="BR31" s="947"/>
      <c r="BS31" s="947">
        <f t="shared" si="13"/>
        <v>0</v>
      </c>
      <c r="BT31" s="974">
        <f t="shared" si="14"/>
        <v>1.3333333333333333</v>
      </c>
      <c r="BU31" s="947">
        <v>24</v>
      </c>
      <c r="BV31" s="947">
        <f t="shared" si="15"/>
        <v>44077.328000000009</v>
      </c>
      <c r="BW31" s="947">
        <f t="shared" si="16"/>
        <v>0</v>
      </c>
      <c r="BX31" s="947"/>
      <c r="BY31" s="947"/>
    </row>
    <row r="32" spans="1:77" s="773" customFormat="1" ht="15.75" customHeight="1">
      <c r="A32" s="947">
        <v>15</v>
      </c>
      <c r="B32" s="947" t="s">
        <v>368</v>
      </c>
      <c r="C32" s="947" t="s">
        <v>403</v>
      </c>
      <c r="D32" s="941" t="s">
        <v>585</v>
      </c>
      <c r="E32" s="947" t="s">
        <v>627</v>
      </c>
      <c r="F32" s="953" t="s">
        <v>401</v>
      </c>
      <c r="G32" s="951">
        <v>17697</v>
      </c>
      <c r="H32" s="951">
        <v>5.41</v>
      </c>
      <c r="I32" s="952">
        <f t="shared" si="4"/>
        <v>95740.77</v>
      </c>
      <c r="J32" s="953">
        <v>18</v>
      </c>
      <c r="K32" s="953">
        <v>18</v>
      </c>
      <c r="L32" s="954">
        <f t="shared" si="5"/>
        <v>1.3333333333333333</v>
      </c>
      <c r="M32" s="954"/>
      <c r="N32" s="958">
        <v>24</v>
      </c>
      <c r="O32" s="958"/>
      <c r="P32" s="958"/>
      <c r="Q32" s="958"/>
      <c r="R32" s="952">
        <f t="shared" si="18"/>
        <v>127654.36000000002</v>
      </c>
      <c r="S32" s="952">
        <f t="shared" si="1"/>
        <v>0</v>
      </c>
      <c r="T32" s="952">
        <f t="shared" si="2"/>
        <v>0</v>
      </c>
      <c r="U32" s="952">
        <f t="shared" si="17"/>
        <v>31913.590000000004</v>
      </c>
      <c r="V32" s="955">
        <v>0.1</v>
      </c>
      <c r="W32" s="955">
        <v>0.2</v>
      </c>
      <c r="X32" s="956">
        <v>0.125</v>
      </c>
      <c r="Y32" s="955">
        <v>0.25</v>
      </c>
      <c r="Z32" s="955">
        <v>0.15</v>
      </c>
      <c r="AA32" s="955">
        <v>0.3</v>
      </c>
      <c r="AB32" s="958">
        <v>19</v>
      </c>
      <c r="AC32" s="957">
        <v>5</v>
      </c>
      <c r="AD32" s="957"/>
      <c r="AE32" s="958"/>
      <c r="AF32" s="958"/>
      <c r="AG32" s="959"/>
      <c r="AH32" s="959">
        <f t="shared" si="21"/>
        <v>1868.0166666666667</v>
      </c>
      <c r="AI32" s="959">
        <f>G32*20%/18*AC32*100%</f>
        <v>983.16666666666663</v>
      </c>
      <c r="AJ32" s="959">
        <f t="shared" si="19"/>
        <v>0</v>
      </c>
      <c r="AK32" s="959"/>
      <c r="AL32" s="959">
        <f t="shared" si="20"/>
        <v>0</v>
      </c>
      <c r="AM32" s="959"/>
      <c r="AN32" s="958"/>
      <c r="AO32" s="953"/>
      <c r="AP32" s="958"/>
      <c r="AQ32" s="959"/>
      <c r="AR32" s="958"/>
      <c r="AS32" s="959"/>
      <c r="AT32" s="959">
        <v>2212</v>
      </c>
      <c r="AU32" s="958"/>
      <c r="AV32" s="957"/>
      <c r="AW32" s="960"/>
      <c r="AX32" s="960"/>
      <c r="AY32" s="958"/>
      <c r="AZ32" s="958"/>
      <c r="BA32" s="958"/>
      <c r="BB32" s="957"/>
      <c r="BC32" s="957"/>
      <c r="BD32" s="957"/>
      <c r="BE32" s="957">
        <f t="shared" si="6"/>
        <v>15956.795000000002</v>
      </c>
      <c r="BF32" s="957">
        <f t="shared" si="7"/>
        <v>180587.92833333334</v>
      </c>
      <c r="BG32" s="949"/>
      <c r="BH32" s="961">
        <v>0.3</v>
      </c>
      <c r="BI32" s="961">
        <v>0.35</v>
      </c>
      <c r="BJ32" s="961">
        <v>0.4</v>
      </c>
      <c r="BK32" s="974">
        <f t="shared" si="8"/>
        <v>1.3333333333333333</v>
      </c>
      <c r="BL32" s="947">
        <v>24</v>
      </c>
      <c r="BM32" s="963">
        <f t="shared" si="9"/>
        <v>47870.385000000002</v>
      </c>
      <c r="BN32" s="947">
        <f t="shared" si="10"/>
        <v>0</v>
      </c>
      <c r="BO32" s="947"/>
      <c r="BP32" s="947">
        <f t="shared" si="11"/>
        <v>0</v>
      </c>
      <c r="BQ32" s="947">
        <f t="shared" si="12"/>
        <v>0</v>
      </c>
      <c r="BR32" s="947"/>
      <c r="BS32" s="947">
        <f t="shared" si="13"/>
        <v>0</v>
      </c>
      <c r="BT32" s="947">
        <f t="shared" si="14"/>
        <v>0</v>
      </c>
      <c r="BU32" s="947"/>
      <c r="BV32" s="947">
        <f t="shared" si="15"/>
        <v>0</v>
      </c>
      <c r="BW32" s="947">
        <f t="shared" si="16"/>
        <v>0</v>
      </c>
      <c r="BX32" s="947"/>
      <c r="BY32" s="947"/>
    </row>
    <row r="33" spans="1:77" s="773" customFormat="1" ht="15.75" customHeight="1">
      <c r="A33" s="947">
        <v>16</v>
      </c>
      <c r="B33" s="947" t="s">
        <v>353</v>
      </c>
      <c r="C33" s="947" t="s">
        <v>403</v>
      </c>
      <c r="D33" s="941" t="s">
        <v>581</v>
      </c>
      <c r="E33" s="941" t="s">
        <v>628</v>
      </c>
      <c r="F33" s="972" t="s">
        <v>374</v>
      </c>
      <c r="G33" s="951">
        <v>17697</v>
      </c>
      <c r="H33" s="951">
        <v>5.2</v>
      </c>
      <c r="I33" s="952">
        <f t="shared" si="4"/>
        <v>92024.400000000009</v>
      </c>
      <c r="J33" s="953">
        <v>18</v>
      </c>
      <c r="K33" s="953">
        <v>18</v>
      </c>
      <c r="L33" s="954">
        <f t="shared" si="5"/>
        <v>0.5</v>
      </c>
      <c r="M33" s="954"/>
      <c r="N33" s="958"/>
      <c r="O33" s="958">
        <v>6</v>
      </c>
      <c r="P33" s="958">
        <v>3</v>
      </c>
      <c r="Q33" s="958"/>
      <c r="R33" s="952">
        <f t="shared" si="18"/>
        <v>0</v>
      </c>
      <c r="S33" s="952">
        <f t="shared" si="1"/>
        <v>30674.800000000003</v>
      </c>
      <c r="T33" s="952">
        <f t="shared" si="2"/>
        <v>15337.400000000001</v>
      </c>
      <c r="U33" s="952">
        <f t="shared" si="17"/>
        <v>11503.050000000001</v>
      </c>
      <c r="V33" s="955">
        <v>0.1</v>
      </c>
      <c r="W33" s="955">
        <v>0.2</v>
      </c>
      <c r="X33" s="956">
        <v>0.125</v>
      </c>
      <c r="Y33" s="955">
        <v>0.25</v>
      </c>
      <c r="Z33" s="955">
        <v>0.15</v>
      </c>
      <c r="AA33" s="955">
        <v>0.3</v>
      </c>
      <c r="AB33" s="958"/>
      <c r="AC33" s="957"/>
      <c r="AD33" s="957">
        <v>6</v>
      </c>
      <c r="AE33" s="958"/>
      <c r="AF33" s="958">
        <v>3</v>
      </c>
      <c r="AG33" s="959"/>
      <c r="AH33" s="959">
        <f t="shared" si="21"/>
        <v>0</v>
      </c>
      <c r="AI33" s="958"/>
      <c r="AJ33" s="959">
        <f t="shared" si="19"/>
        <v>589.9</v>
      </c>
      <c r="AK33" s="959"/>
      <c r="AL33" s="959">
        <f t="shared" si="20"/>
        <v>294.95</v>
      </c>
      <c r="AM33" s="959"/>
      <c r="AN33" s="958"/>
      <c r="AO33" s="953"/>
      <c r="AP33" s="958"/>
      <c r="AQ33" s="959"/>
      <c r="AR33" s="958"/>
      <c r="AS33" s="959"/>
      <c r="AT33" s="957"/>
      <c r="AU33" s="958"/>
      <c r="AV33" s="957"/>
      <c r="AW33" s="960"/>
      <c r="AX33" s="960"/>
      <c r="AY33" s="958"/>
      <c r="AZ33" s="958"/>
      <c r="BA33" s="958"/>
      <c r="BB33" s="957"/>
      <c r="BC33" s="957"/>
      <c r="BD33" s="957"/>
      <c r="BE33" s="957">
        <f t="shared" si="6"/>
        <v>5751.5250000000015</v>
      </c>
      <c r="BF33" s="957">
        <f t="shared" si="7"/>
        <v>64151.625000000007</v>
      </c>
      <c r="BG33" s="949"/>
      <c r="BH33" s="961">
        <v>0.3</v>
      </c>
      <c r="BI33" s="961">
        <v>0.35</v>
      </c>
      <c r="BJ33" s="961">
        <v>0.4</v>
      </c>
      <c r="BK33" s="974">
        <f t="shared" si="8"/>
        <v>0.38888888888888884</v>
      </c>
      <c r="BL33" s="947">
        <v>7</v>
      </c>
      <c r="BM33" s="963">
        <f t="shared" si="9"/>
        <v>13420.225000000002</v>
      </c>
      <c r="BN33" s="947">
        <f t="shared" si="10"/>
        <v>0</v>
      </c>
      <c r="BO33" s="947"/>
      <c r="BP33" s="947">
        <f t="shared" si="11"/>
        <v>0</v>
      </c>
      <c r="BQ33" s="947">
        <f t="shared" si="12"/>
        <v>0.5</v>
      </c>
      <c r="BR33" s="947">
        <v>9</v>
      </c>
      <c r="BS33" s="947">
        <f t="shared" si="13"/>
        <v>16104.27</v>
      </c>
      <c r="BT33" s="947">
        <f t="shared" si="14"/>
        <v>0</v>
      </c>
      <c r="BU33" s="947"/>
      <c r="BV33" s="947">
        <f t="shared" si="15"/>
        <v>0</v>
      </c>
      <c r="BW33" s="947">
        <f t="shared" si="16"/>
        <v>0</v>
      </c>
      <c r="BX33" s="947"/>
      <c r="BY33" s="947"/>
    </row>
    <row r="34" spans="1:77" s="773" customFormat="1" ht="15.75" customHeight="1">
      <c r="A34" s="947">
        <v>17</v>
      </c>
      <c r="B34" s="947" t="s">
        <v>356</v>
      </c>
      <c r="C34" s="947" t="s">
        <v>403</v>
      </c>
      <c r="D34" s="941" t="s">
        <v>581</v>
      </c>
      <c r="E34" s="947" t="s">
        <v>604</v>
      </c>
      <c r="F34" s="953" t="s">
        <v>374</v>
      </c>
      <c r="G34" s="951">
        <v>17697</v>
      </c>
      <c r="H34" s="951">
        <v>5.12</v>
      </c>
      <c r="I34" s="952">
        <f t="shared" si="4"/>
        <v>90608.639999999999</v>
      </c>
      <c r="J34" s="953">
        <v>18</v>
      </c>
      <c r="K34" s="953">
        <v>18</v>
      </c>
      <c r="L34" s="954">
        <f t="shared" si="5"/>
        <v>0.88888888888888884</v>
      </c>
      <c r="M34" s="954"/>
      <c r="N34" s="958"/>
      <c r="O34" s="958">
        <v>8</v>
      </c>
      <c r="P34" s="958">
        <v>8</v>
      </c>
      <c r="Q34" s="958"/>
      <c r="R34" s="952">
        <f t="shared" si="18"/>
        <v>0</v>
      </c>
      <c r="S34" s="952">
        <f t="shared" si="1"/>
        <v>40270.506666666668</v>
      </c>
      <c r="T34" s="952">
        <f t="shared" si="2"/>
        <v>40270.506666666668</v>
      </c>
      <c r="U34" s="952">
        <f t="shared" si="17"/>
        <v>20135.253333333334</v>
      </c>
      <c r="V34" s="955">
        <v>0.1</v>
      </c>
      <c r="W34" s="955">
        <v>0.2</v>
      </c>
      <c r="X34" s="956">
        <v>0.125</v>
      </c>
      <c r="Y34" s="955">
        <v>0.25</v>
      </c>
      <c r="Z34" s="955">
        <v>0.15</v>
      </c>
      <c r="AA34" s="955">
        <v>0.3</v>
      </c>
      <c r="AB34" s="957"/>
      <c r="AC34" s="957"/>
      <c r="AD34" s="957">
        <v>8</v>
      </c>
      <c r="AE34" s="958"/>
      <c r="AF34" s="958">
        <v>8</v>
      </c>
      <c r="AG34" s="959"/>
      <c r="AH34" s="959">
        <f t="shared" si="21"/>
        <v>0</v>
      </c>
      <c r="AI34" s="958"/>
      <c r="AJ34" s="959">
        <f t="shared" si="19"/>
        <v>786.5333333333333</v>
      </c>
      <c r="AK34" s="959"/>
      <c r="AL34" s="959">
        <f t="shared" si="20"/>
        <v>786.5333333333333</v>
      </c>
      <c r="AM34" s="959"/>
      <c r="AN34" s="958"/>
      <c r="AO34" s="953"/>
      <c r="AP34" s="958"/>
      <c r="AQ34" s="953"/>
      <c r="AR34" s="958"/>
      <c r="AS34" s="953"/>
      <c r="AT34" s="957"/>
      <c r="AU34" s="958"/>
      <c r="AV34" s="960"/>
      <c r="AW34" s="960"/>
      <c r="AX34" s="958"/>
      <c r="AY34" s="958"/>
      <c r="AZ34" s="957"/>
      <c r="BA34" s="958"/>
      <c r="BB34" s="957"/>
      <c r="BC34" s="957"/>
      <c r="BD34" s="957"/>
      <c r="BE34" s="957">
        <f t="shared" si="6"/>
        <v>10067.626666666667</v>
      </c>
      <c r="BF34" s="957">
        <f t="shared" si="7"/>
        <v>112316.96</v>
      </c>
      <c r="BG34" s="949"/>
      <c r="BH34" s="961">
        <v>0.3</v>
      </c>
      <c r="BI34" s="961">
        <v>0.35</v>
      </c>
      <c r="BJ34" s="961">
        <v>0.4</v>
      </c>
      <c r="BK34" s="974">
        <f t="shared" si="8"/>
        <v>0.66666666666666663</v>
      </c>
      <c r="BL34" s="947">
        <v>12</v>
      </c>
      <c r="BM34" s="963">
        <f t="shared" si="9"/>
        <v>22652.159999999996</v>
      </c>
      <c r="BN34" s="947">
        <f t="shared" si="10"/>
        <v>0</v>
      </c>
      <c r="BO34" s="947"/>
      <c r="BP34" s="947">
        <f t="shared" si="11"/>
        <v>0</v>
      </c>
      <c r="BQ34" s="947">
        <f t="shared" si="12"/>
        <v>0</v>
      </c>
      <c r="BR34" s="947"/>
      <c r="BS34" s="947">
        <f t="shared" si="13"/>
        <v>0</v>
      </c>
      <c r="BT34" s="947">
        <f t="shared" si="14"/>
        <v>0</v>
      </c>
      <c r="BU34" s="947"/>
      <c r="BV34" s="947">
        <f t="shared" si="15"/>
        <v>0</v>
      </c>
      <c r="BW34" s="947">
        <f t="shared" si="16"/>
        <v>0</v>
      </c>
      <c r="BX34" s="947"/>
      <c r="BY34" s="947"/>
    </row>
    <row r="35" spans="1:77" s="773" customFormat="1" ht="15.75" customHeight="1">
      <c r="A35" s="947"/>
      <c r="B35" s="947" t="s">
        <v>635</v>
      </c>
      <c r="C35" s="947" t="s">
        <v>403</v>
      </c>
      <c r="D35" s="941" t="s">
        <v>582</v>
      </c>
      <c r="E35" s="947" t="s">
        <v>604</v>
      </c>
      <c r="F35" s="953" t="s">
        <v>355</v>
      </c>
      <c r="G35" s="951">
        <v>17697</v>
      </c>
      <c r="H35" s="951">
        <v>4.67</v>
      </c>
      <c r="I35" s="952">
        <f t="shared" si="4"/>
        <v>82644.990000000005</v>
      </c>
      <c r="J35" s="953">
        <v>18</v>
      </c>
      <c r="K35" s="953">
        <v>18</v>
      </c>
      <c r="L35" s="954">
        <f t="shared" si="5"/>
        <v>0.1111111111111111</v>
      </c>
      <c r="M35" s="954"/>
      <c r="N35" s="958">
        <v>2</v>
      </c>
      <c r="O35" s="958"/>
      <c r="P35" s="958"/>
      <c r="Q35" s="958"/>
      <c r="R35" s="952">
        <f t="shared" si="18"/>
        <v>9182.7766666666666</v>
      </c>
      <c r="S35" s="952">
        <f t="shared" si="1"/>
        <v>0</v>
      </c>
      <c r="T35" s="952">
        <f t="shared" si="2"/>
        <v>0</v>
      </c>
      <c r="U35" s="952">
        <f t="shared" si="17"/>
        <v>2295.6941666666667</v>
      </c>
      <c r="V35" s="955"/>
      <c r="W35" s="955"/>
      <c r="X35" s="956"/>
      <c r="Y35" s="955"/>
      <c r="Z35" s="955"/>
      <c r="AA35" s="955"/>
      <c r="AB35" s="957"/>
      <c r="AC35" s="957"/>
      <c r="AD35" s="957"/>
      <c r="AE35" s="958"/>
      <c r="AF35" s="958"/>
      <c r="AG35" s="959"/>
      <c r="AH35" s="959">
        <f t="shared" si="21"/>
        <v>0</v>
      </c>
      <c r="AI35" s="958"/>
      <c r="AJ35" s="959">
        <f t="shared" si="19"/>
        <v>0</v>
      </c>
      <c r="AK35" s="959"/>
      <c r="AL35" s="959">
        <f t="shared" si="20"/>
        <v>0</v>
      </c>
      <c r="AM35" s="959"/>
      <c r="AN35" s="958"/>
      <c r="AO35" s="953"/>
      <c r="AP35" s="958"/>
      <c r="AQ35" s="953"/>
      <c r="AR35" s="958"/>
      <c r="AS35" s="953"/>
      <c r="AT35" s="957"/>
      <c r="AU35" s="958"/>
      <c r="AV35" s="957"/>
      <c r="AW35" s="960"/>
      <c r="AX35" s="958"/>
      <c r="AY35" s="958"/>
      <c r="AZ35" s="957"/>
      <c r="BA35" s="957"/>
      <c r="BB35" s="957"/>
      <c r="BC35" s="957"/>
      <c r="BD35" s="957"/>
      <c r="BE35" s="957">
        <f t="shared" si="6"/>
        <v>1147.8470833333333</v>
      </c>
      <c r="BF35" s="957">
        <f t="shared" si="7"/>
        <v>12626.317916666667</v>
      </c>
      <c r="BG35" s="949"/>
      <c r="BH35" s="961">
        <v>0.3</v>
      </c>
      <c r="BI35" s="961">
        <v>0.35</v>
      </c>
      <c r="BJ35" s="961">
        <v>0.4</v>
      </c>
      <c r="BK35" s="974">
        <f t="shared" si="8"/>
        <v>0.1111111111111111</v>
      </c>
      <c r="BL35" s="947">
        <v>2</v>
      </c>
      <c r="BM35" s="963">
        <f t="shared" si="9"/>
        <v>3443.5412500000002</v>
      </c>
      <c r="BN35" s="947">
        <f t="shared" si="10"/>
        <v>0</v>
      </c>
      <c r="BO35" s="947"/>
      <c r="BP35" s="947">
        <f t="shared" si="11"/>
        <v>0</v>
      </c>
      <c r="BQ35" s="947">
        <f t="shared" si="12"/>
        <v>0</v>
      </c>
      <c r="BR35" s="947"/>
      <c r="BS35" s="947">
        <f t="shared" si="13"/>
        <v>0</v>
      </c>
      <c r="BT35" s="947">
        <f t="shared" si="14"/>
        <v>0</v>
      </c>
      <c r="BU35" s="947"/>
      <c r="BV35" s="947">
        <f t="shared" si="15"/>
        <v>0</v>
      </c>
      <c r="BW35" s="947">
        <f t="shared" si="16"/>
        <v>0</v>
      </c>
      <c r="BX35" s="947"/>
      <c r="BY35" s="947"/>
    </row>
    <row r="36" spans="1:77" s="773" customFormat="1" ht="15.75" customHeight="1">
      <c r="A36" s="947">
        <v>18</v>
      </c>
      <c r="B36" s="947" t="s">
        <v>390</v>
      </c>
      <c r="C36" s="947" t="s">
        <v>403</v>
      </c>
      <c r="D36" s="941" t="s">
        <v>585</v>
      </c>
      <c r="E36" s="947" t="s">
        <v>629</v>
      </c>
      <c r="F36" s="972" t="s">
        <v>401</v>
      </c>
      <c r="G36" s="951">
        <v>17697</v>
      </c>
      <c r="H36" s="951">
        <v>5.41</v>
      </c>
      <c r="I36" s="952">
        <f t="shared" si="4"/>
        <v>95740.77</v>
      </c>
      <c r="J36" s="953">
        <v>18</v>
      </c>
      <c r="K36" s="953">
        <v>18</v>
      </c>
      <c r="L36" s="954">
        <f t="shared" si="5"/>
        <v>1</v>
      </c>
      <c r="M36" s="954"/>
      <c r="N36" s="958">
        <v>2</v>
      </c>
      <c r="O36" s="958">
        <v>12</v>
      </c>
      <c r="P36" s="958">
        <v>4</v>
      </c>
      <c r="Q36" s="958"/>
      <c r="R36" s="952">
        <f t="shared" si="18"/>
        <v>10637.863333333335</v>
      </c>
      <c r="S36" s="952">
        <f t="shared" si="1"/>
        <v>63827.180000000008</v>
      </c>
      <c r="T36" s="952">
        <f t="shared" si="2"/>
        <v>21275.726666666669</v>
      </c>
      <c r="U36" s="952">
        <f t="shared" si="17"/>
        <v>23935.192500000001</v>
      </c>
      <c r="V36" s="955">
        <v>0.1</v>
      </c>
      <c r="W36" s="955">
        <v>0.2</v>
      </c>
      <c r="X36" s="956">
        <v>0.125</v>
      </c>
      <c r="Y36" s="955">
        <v>0.25</v>
      </c>
      <c r="Z36" s="955">
        <v>0.15</v>
      </c>
      <c r="AA36" s="955">
        <v>0.3</v>
      </c>
      <c r="AB36" s="957">
        <v>2</v>
      </c>
      <c r="AC36" s="957"/>
      <c r="AD36" s="957">
        <v>12</v>
      </c>
      <c r="AE36" s="958"/>
      <c r="AF36" s="958">
        <v>4</v>
      </c>
      <c r="AG36" s="959"/>
      <c r="AH36" s="959">
        <f>G36*25%/18*AB36*50%</f>
        <v>245.79166666666666</v>
      </c>
      <c r="AI36" s="958"/>
      <c r="AJ36" s="959">
        <f>G36*25%/18*AD36*50%</f>
        <v>1474.75</v>
      </c>
      <c r="AK36" s="959"/>
      <c r="AL36" s="959">
        <f>G36*25%/J36*AF36*50%</f>
        <v>491.58333333333331</v>
      </c>
      <c r="AM36" s="953"/>
      <c r="AN36" s="958">
        <v>0</v>
      </c>
      <c r="AO36" s="959">
        <f>G36*Y36/K36*AN36</f>
        <v>0</v>
      </c>
      <c r="AP36" s="958">
        <v>0</v>
      </c>
      <c r="AQ36" s="959">
        <f>G36*Y36/J36*AP36</f>
        <v>0</v>
      </c>
      <c r="AR36" s="958">
        <v>0</v>
      </c>
      <c r="AS36" s="959">
        <f>G36*Y36/J36*AR36</f>
        <v>0</v>
      </c>
      <c r="AT36" s="957"/>
      <c r="AU36" s="958"/>
      <c r="AV36" s="957"/>
      <c r="AW36" s="958"/>
      <c r="AX36" s="958"/>
      <c r="AY36" s="958"/>
      <c r="AZ36" s="957"/>
      <c r="BA36" s="957"/>
      <c r="BB36" s="957"/>
      <c r="BC36" s="957"/>
      <c r="BD36" s="957"/>
      <c r="BE36" s="957">
        <f t="shared" si="6"/>
        <v>11967.596250000002</v>
      </c>
      <c r="BF36" s="957">
        <f t="shared" si="7"/>
        <v>133855.68375000003</v>
      </c>
      <c r="BG36" s="949"/>
      <c r="BH36" s="961">
        <v>0.3</v>
      </c>
      <c r="BI36" s="961">
        <v>0.35</v>
      </c>
      <c r="BJ36" s="961">
        <v>0.4</v>
      </c>
      <c r="BK36" s="974">
        <f t="shared" si="8"/>
        <v>0.88888888888888884</v>
      </c>
      <c r="BL36" s="947">
        <v>16</v>
      </c>
      <c r="BM36" s="963">
        <f t="shared" si="9"/>
        <v>31913.59</v>
      </c>
      <c r="BN36" s="947">
        <f t="shared" si="10"/>
        <v>0</v>
      </c>
      <c r="BO36" s="947"/>
      <c r="BP36" s="947">
        <f t="shared" si="11"/>
        <v>0</v>
      </c>
      <c r="BQ36" s="947">
        <f t="shared" si="12"/>
        <v>0</v>
      </c>
      <c r="BR36" s="947"/>
      <c r="BS36" s="947">
        <f t="shared" si="13"/>
        <v>0</v>
      </c>
      <c r="BT36" s="947">
        <f t="shared" si="14"/>
        <v>1</v>
      </c>
      <c r="BU36" s="947">
        <v>18</v>
      </c>
      <c r="BV36" s="947">
        <f t="shared" si="15"/>
        <v>38296.308000000005</v>
      </c>
      <c r="BW36" s="947">
        <f t="shared" si="16"/>
        <v>0</v>
      </c>
      <c r="BX36" s="947"/>
      <c r="BY36" s="947"/>
    </row>
    <row r="37" spans="1:77" s="773" customFormat="1" ht="15.75" customHeight="1">
      <c r="A37" s="947">
        <v>19</v>
      </c>
      <c r="B37" s="947" t="s">
        <v>574</v>
      </c>
      <c r="C37" s="947" t="s">
        <v>403</v>
      </c>
      <c r="D37" s="941" t="s">
        <v>581</v>
      </c>
      <c r="E37" s="947" t="s">
        <v>630</v>
      </c>
      <c r="F37" s="953" t="s">
        <v>374</v>
      </c>
      <c r="G37" s="951">
        <v>17697</v>
      </c>
      <c r="H37" s="951">
        <v>4.95</v>
      </c>
      <c r="I37" s="952">
        <f t="shared" si="4"/>
        <v>87600.150000000009</v>
      </c>
      <c r="J37" s="953">
        <v>18</v>
      </c>
      <c r="K37" s="953">
        <v>18</v>
      </c>
      <c r="L37" s="954">
        <f t="shared" si="5"/>
        <v>0.5</v>
      </c>
      <c r="M37" s="954"/>
      <c r="N37" s="958"/>
      <c r="O37" s="958"/>
      <c r="P37" s="958">
        <v>9</v>
      </c>
      <c r="Q37" s="958"/>
      <c r="R37" s="952">
        <f t="shared" si="18"/>
        <v>0</v>
      </c>
      <c r="S37" s="952">
        <f t="shared" si="1"/>
        <v>0</v>
      </c>
      <c r="T37" s="952">
        <f t="shared" si="2"/>
        <v>43800.075000000004</v>
      </c>
      <c r="U37" s="952">
        <f t="shared" si="17"/>
        <v>10950.018750000001</v>
      </c>
      <c r="V37" s="955">
        <v>0.1</v>
      </c>
      <c r="W37" s="955">
        <v>0.2</v>
      </c>
      <c r="X37" s="956">
        <v>0.125</v>
      </c>
      <c r="Y37" s="955">
        <v>0.25</v>
      </c>
      <c r="Z37" s="955">
        <v>0.15</v>
      </c>
      <c r="AA37" s="955">
        <v>0.3</v>
      </c>
      <c r="AB37" s="957"/>
      <c r="AC37" s="957"/>
      <c r="AD37" s="957"/>
      <c r="AE37" s="958"/>
      <c r="AF37" s="957">
        <v>9</v>
      </c>
      <c r="AG37" s="959"/>
      <c r="AH37" s="959">
        <f>G37*20%/18*AB37*50%</f>
        <v>0</v>
      </c>
      <c r="AI37" s="958"/>
      <c r="AJ37" s="959">
        <f>G37*20%/18*AD37*50%</f>
        <v>0</v>
      </c>
      <c r="AK37" s="959"/>
      <c r="AL37" s="959">
        <f>G37*20%/J37*AF37*50%</f>
        <v>884.84999999999991</v>
      </c>
      <c r="AM37" s="959"/>
      <c r="AN37" s="958"/>
      <c r="AO37" s="953"/>
      <c r="AP37" s="958"/>
      <c r="AQ37" s="953"/>
      <c r="AR37" s="958"/>
      <c r="AS37" s="953"/>
      <c r="AT37" s="957"/>
      <c r="AU37" s="958"/>
      <c r="AV37" s="957"/>
      <c r="AW37" s="958"/>
      <c r="AX37" s="957"/>
      <c r="AY37" s="958"/>
      <c r="AZ37" s="958"/>
      <c r="BA37" s="957"/>
      <c r="BB37" s="957"/>
      <c r="BC37" s="957"/>
      <c r="BD37" s="957"/>
      <c r="BE37" s="957">
        <f t="shared" si="6"/>
        <v>5475.0093750000015</v>
      </c>
      <c r="BF37" s="957">
        <f t="shared" si="7"/>
        <v>61109.953125000007</v>
      </c>
      <c r="BG37" s="949"/>
      <c r="BH37" s="961">
        <v>0.3</v>
      </c>
      <c r="BI37" s="961">
        <v>0.35</v>
      </c>
      <c r="BJ37" s="961">
        <v>0.4</v>
      </c>
      <c r="BK37" s="974">
        <f t="shared" si="8"/>
        <v>0.22222222222222221</v>
      </c>
      <c r="BL37" s="947">
        <v>4</v>
      </c>
      <c r="BM37" s="963">
        <f t="shared" si="9"/>
        <v>7300.0125000000007</v>
      </c>
      <c r="BN37" s="947">
        <f t="shared" si="10"/>
        <v>0</v>
      </c>
      <c r="BO37" s="947"/>
      <c r="BP37" s="947">
        <f t="shared" si="11"/>
        <v>0</v>
      </c>
      <c r="BQ37" s="947">
        <f t="shared" si="12"/>
        <v>0</v>
      </c>
      <c r="BR37" s="947"/>
      <c r="BS37" s="947">
        <f t="shared" si="13"/>
        <v>0</v>
      </c>
      <c r="BT37" s="947">
        <f t="shared" si="14"/>
        <v>0</v>
      </c>
      <c r="BU37" s="947"/>
      <c r="BV37" s="947">
        <f t="shared" si="15"/>
        <v>0</v>
      </c>
      <c r="BW37" s="947">
        <f t="shared" si="16"/>
        <v>0</v>
      </c>
      <c r="BX37" s="947"/>
      <c r="BY37" s="947"/>
    </row>
    <row r="38" spans="1:77" s="773" customFormat="1" ht="15.75" customHeight="1">
      <c r="A38" s="947">
        <v>20</v>
      </c>
      <c r="B38" s="947" t="s">
        <v>384</v>
      </c>
      <c r="C38" s="947" t="s">
        <v>403</v>
      </c>
      <c r="D38" s="941" t="s">
        <v>583</v>
      </c>
      <c r="E38" s="947" t="s">
        <v>636</v>
      </c>
      <c r="F38" s="972" t="s">
        <v>300</v>
      </c>
      <c r="G38" s="951">
        <v>17697</v>
      </c>
      <c r="H38" s="951">
        <v>4.74</v>
      </c>
      <c r="I38" s="952">
        <f t="shared" si="4"/>
        <v>83883.78</v>
      </c>
      <c r="J38" s="953">
        <v>18</v>
      </c>
      <c r="K38" s="953">
        <v>18</v>
      </c>
      <c r="L38" s="954">
        <f t="shared" si="5"/>
        <v>1.1666666666666665</v>
      </c>
      <c r="M38" s="954"/>
      <c r="N38" s="958"/>
      <c r="O38" s="958">
        <v>15</v>
      </c>
      <c r="P38" s="958">
        <v>6</v>
      </c>
      <c r="Q38" s="958"/>
      <c r="R38" s="952">
        <f t="shared" si="18"/>
        <v>0</v>
      </c>
      <c r="S38" s="952">
        <f t="shared" si="1"/>
        <v>69903.149999999994</v>
      </c>
      <c r="T38" s="952">
        <f t="shared" si="2"/>
        <v>27961.260000000002</v>
      </c>
      <c r="U38" s="952">
        <f t="shared" si="17"/>
        <v>24466.102500000001</v>
      </c>
      <c r="V38" s="955">
        <v>0.1</v>
      </c>
      <c r="W38" s="955">
        <v>0.2</v>
      </c>
      <c r="X38" s="956">
        <v>0.125</v>
      </c>
      <c r="Y38" s="955">
        <v>0.25</v>
      </c>
      <c r="Z38" s="955">
        <v>0.15</v>
      </c>
      <c r="AA38" s="955">
        <v>0.3</v>
      </c>
      <c r="AB38" s="957"/>
      <c r="AC38" s="957"/>
      <c r="AD38" s="957"/>
      <c r="AE38" s="958"/>
      <c r="AF38" s="957"/>
      <c r="AG38" s="959"/>
      <c r="AH38" s="959">
        <f>G38*20%/18*AB38*50%</f>
        <v>0</v>
      </c>
      <c r="AI38" s="958"/>
      <c r="AJ38" s="959">
        <f>G38*20%/18*AD38*50%</f>
        <v>0</v>
      </c>
      <c r="AK38" s="959"/>
      <c r="AL38" s="959">
        <f>G38*20%/J38*AF38*50%</f>
        <v>0</v>
      </c>
      <c r="AM38" s="959"/>
      <c r="AN38" s="958"/>
      <c r="AO38" s="953"/>
      <c r="AP38" s="958"/>
      <c r="AQ38" s="953"/>
      <c r="AR38" s="958"/>
      <c r="AS38" s="953"/>
      <c r="AT38" s="957"/>
      <c r="AU38" s="958"/>
      <c r="AV38" s="957"/>
      <c r="AW38" s="958"/>
      <c r="AX38" s="960"/>
      <c r="AY38" s="958"/>
      <c r="AZ38" s="957"/>
      <c r="BA38" s="957"/>
      <c r="BB38" s="957"/>
      <c r="BC38" s="957"/>
      <c r="BD38" s="957"/>
      <c r="BE38" s="957">
        <f t="shared" si="6"/>
        <v>12233.051250000002</v>
      </c>
      <c r="BF38" s="957">
        <f t="shared" si="7"/>
        <v>134563.56375</v>
      </c>
      <c r="BG38" s="949"/>
      <c r="BH38" s="961">
        <v>0.3</v>
      </c>
      <c r="BI38" s="961">
        <v>0.35</v>
      </c>
      <c r="BJ38" s="961">
        <v>0.4</v>
      </c>
      <c r="BK38" s="974">
        <f t="shared" si="8"/>
        <v>1</v>
      </c>
      <c r="BL38" s="947">
        <v>18</v>
      </c>
      <c r="BM38" s="963">
        <f t="shared" si="9"/>
        <v>31456.4175</v>
      </c>
      <c r="BN38" s="974">
        <f t="shared" si="10"/>
        <v>1.1666666666666665</v>
      </c>
      <c r="BO38" s="947">
        <v>21</v>
      </c>
      <c r="BP38" s="947">
        <f t="shared" si="11"/>
        <v>29359.322999999997</v>
      </c>
      <c r="BQ38" s="947">
        <f t="shared" si="12"/>
        <v>0</v>
      </c>
      <c r="BR38" s="947"/>
      <c r="BS38" s="947">
        <f t="shared" si="13"/>
        <v>0</v>
      </c>
      <c r="BT38" s="947">
        <f t="shared" si="14"/>
        <v>0</v>
      </c>
      <c r="BU38" s="947"/>
      <c r="BV38" s="947">
        <f t="shared" si="15"/>
        <v>0</v>
      </c>
      <c r="BW38" s="947">
        <f t="shared" si="16"/>
        <v>0</v>
      </c>
      <c r="BX38" s="947"/>
      <c r="BY38" s="947"/>
    </row>
    <row r="39" spans="1:77" s="773" customFormat="1" ht="15.75" customHeight="1">
      <c r="A39" s="947">
        <v>21</v>
      </c>
      <c r="B39" s="947" t="s">
        <v>381</v>
      </c>
      <c r="C39" s="947" t="s">
        <v>648</v>
      </c>
      <c r="D39" s="941" t="s">
        <v>584</v>
      </c>
      <c r="E39" s="978" t="s">
        <v>634</v>
      </c>
      <c r="F39" s="953" t="s">
        <v>355</v>
      </c>
      <c r="G39" s="951">
        <v>17697</v>
      </c>
      <c r="H39" s="951">
        <v>3.53</v>
      </c>
      <c r="I39" s="952">
        <f t="shared" si="4"/>
        <v>62470.409999999996</v>
      </c>
      <c r="J39" s="953">
        <v>18</v>
      </c>
      <c r="K39" s="953">
        <v>18</v>
      </c>
      <c r="L39" s="954">
        <f t="shared" si="5"/>
        <v>0.27777777777777779</v>
      </c>
      <c r="M39" s="954"/>
      <c r="N39" s="958">
        <v>2</v>
      </c>
      <c r="O39" s="958">
        <v>3</v>
      </c>
      <c r="P39" s="958"/>
      <c r="Q39" s="958"/>
      <c r="R39" s="952">
        <f t="shared" si="18"/>
        <v>6941.1566666666658</v>
      </c>
      <c r="S39" s="952">
        <f t="shared" si="1"/>
        <v>10411.734999999999</v>
      </c>
      <c r="T39" s="952">
        <f t="shared" si="2"/>
        <v>0</v>
      </c>
      <c r="U39" s="952">
        <f t="shared" si="17"/>
        <v>4338.2229166666657</v>
      </c>
      <c r="V39" s="955"/>
      <c r="W39" s="955"/>
      <c r="X39" s="956"/>
      <c r="Y39" s="955"/>
      <c r="Z39" s="955"/>
      <c r="AA39" s="955"/>
      <c r="AB39" s="957">
        <v>7</v>
      </c>
      <c r="AC39" s="973"/>
      <c r="AD39" s="957"/>
      <c r="AE39" s="958"/>
      <c r="AF39" s="957"/>
      <c r="AG39" s="959"/>
      <c r="AH39" s="959">
        <f>G39*20%/18*AB39*50%</f>
        <v>688.2166666666667</v>
      </c>
      <c r="AI39" s="959"/>
      <c r="AJ39" s="959">
        <f>G39*20%/18*AD39*50%</f>
        <v>0</v>
      </c>
      <c r="AK39" s="959"/>
      <c r="AL39" s="959">
        <f>G39*20%/J39*AF39*50%</f>
        <v>0</v>
      </c>
      <c r="AM39" s="959"/>
      <c r="AN39" s="958"/>
      <c r="AO39" s="959"/>
      <c r="AP39" s="958"/>
      <c r="AQ39" s="959"/>
      <c r="AR39" s="958"/>
      <c r="AS39" s="959"/>
      <c r="AT39" s="957"/>
      <c r="AU39" s="958"/>
      <c r="AV39" s="960">
        <v>2655</v>
      </c>
      <c r="AW39" s="957"/>
      <c r="AX39" s="960"/>
      <c r="AY39" s="958"/>
      <c r="AZ39" s="958"/>
      <c r="BA39" s="957">
        <v>3539</v>
      </c>
      <c r="BB39" s="957"/>
      <c r="BC39" s="957"/>
      <c r="BD39" s="957"/>
      <c r="BE39" s="957">
        <f t="shared" si="6"/>
        <v>2169.1114583333328</v>
      </c>
      <c r="BF39" s="957">
        <f t="shared" si="7"/>
        <v>30742.442708333328</v>
      </c>
      <c r="BG39" s="949"/>
      <c r="BH39" s="961">
        <v>0.3</v>
      </c>
      <c r="BI39" s="961">
        <v>0.35</v>
      </c>
      <c r="BJ39" s="961">
        <v>0.4</v>
      </c>
      <c r="BK39" s="974">
        <f t="shared" si="8"/>
        <v>0.27777777777777779</v>
      </c>
      <c r="BL39" s="947">
        <v>5</v>
      </c>
      <c r="BM39" s="963">
        <f t="shared" si="9"/>
        <v>6507.3343749999995</v>
      </c>
      <c r="BN39" s="947">
        <f t="shared" si="10"/>
        <v>0</v>
      </c>
      <c r="BO39" s="947"/>
      <c r="BP39" s="947">
        <f t="shared" si="11"/>
        <v>0</v>
      </c>
      <c r="BQ39" s="947">
        <f t="shared" si="12"/>
        <v>0</v>
      </c>
      <c r="BR39" s="947"/>
      <c r="BS39" s="947">
        <f t="shared" si="13"/>
        <v>0</v>
      </c>
      <c r="BT39" s="947">
        <f t="shared" si="14"/>
        <v>0</v>
      </c>
      <c r="BU39" s="947"/>
      <c r="BV39" s="947">
        <f t="shared" si="15"/>
        <v>0</v>
      </c>
      <c r="BW39" s="947">
        <f t="shared" si="16"/>
        <v>0</v>
      </c>
      <c r="BX39" s="947"/>
      <c r="BY39" s="947"/>
    </row>
    <row r="40" spans="1:77" s="773" customFormat="1" ht="15.75" customHeight="1">
      <c r="A40" s="947">
        <v>22</v>
      </c>
      <c r="B40" s="947" t="s">
        <v>476</v>
      </c>
      <c r="C40" s="947" t="s">
        <v>403</v>
      </c>
      <c r="D40" s="941" t="s">
        <v>582</v>
      </c>
      <c r="E40" s="947" t="s">
        <v>631</v>
      </c>
      <c r="F40" s="953" t="s">
        <v>355</v>
      </c>
      <c r="G40" s="951">
        <v>17697</v>
      </c>
      <c r="H40" s="951">
        <v>4.1399999999999997</v>
      </c>
      <c r="I40" s="952">
        <f t="shared" si="4"/>
        <v>73265.579999999987</v>
      </c>
      <c r="J40" s="953">
        <v>18</v>
      </c>
      <c r="K40" s="953"/>
      <c r="L40" s="954">
        <f t="shared" si="5"/>
        <v>0.72222222222222221</v>
      </c>
      <c r="M40" s="954"/>
      <c r="N40" s="958">
        <v>13</v>
      </c>
      <c r="O40" s="958">
        <v>0</v>
      </c>
      <c r="P40" s="958"/>
      <c r="Q40" s="958"/>
      <c r="R40" s="952">
        <f t="shared" si="18"/>
        <v>52914.029999999992</v>
      </c>
      <c r="S40" s="952">
        <f t="shared" si="1"/>
        <v>0</v>
      </c>
      <c r="T40" s="952">
        <f t="shared" si="2"/>
        <v>0</v>
      </c>
      <c r="U40" s="952">
        <f t="shared" si="17"/>
        <v>13228.507499999998</v>
      </c>
      <c r="V40" s="955"/>
      <c r="W40" s="955"/>
      <c r="X40" s="956"/>
      <c r="Y40" s="955"/>
      <c r="Z40" s="955"/>
      <c r="AA40" s="955"/>
      <c r="AB40" s="957"/>
      <c r="AC40" s="973"/>
      <c r="AD40" s="957"/>
      <c r="AE40" s="958"/>
      <c r="AF40" s="957"/>
      <c r="AG40" s="959"/>
      <c r="AH40" s="959"/>
      <c r="AI40" s="959"/>
      <c r="AJ40" s="959"/>
      <c r="AK40" s="959"/>
      <c r="AL40" s="959"/>
      <c r="AM40" s="959"/>
      <c r="AN40" s="958"/>
      <c r="AO40" s="959"/>
      <c r="AP40" s="958"/>
      <c r="AQ40" s="959"/>
      <c r="AR40" s="958"/>
      <c r="AS40" s="959"/>
      <c r="AT40" s="957"/>
      <c r="AU40" s="958"/>
      <c r="AV40" s="957"/>
      <c r="AW40" s="957"/>
      <c r="AX40" s="960"/>
      <c r="AY40" s="958"/>
      <c r="AZ40" s="958"/>
      <c r="BA40" s="957"/>
      <c r="BB40" s="957"/>
      <c r="BC40" s="957"/>
      <c r="BD40" s="957"/>
      <c r="BE40" s="957">
        <f t="shared" si="6"/>
        <v>6614.2537499999999</v>
      </c>
      <c r="BF40" s="957">
        <f t="shared" si="7"/>
        <v>72756.791249999995</v>
      </c>
      <c r="BG40" s="949"/>
      <c r="BH40" s="961">
        <v>0.3</v>
      </c>
      <c r="BI40" s="961">
        <v>0.35</v>
      </c>
      <c r="BJ40" s="961">
        <v>0.4</v>
      </c>
      <c r="BK40" s="974">
        <f t="shared" si="8"/>
        <v>0.72222222222222221</v>
      </c>
      <c r="BL40" s="947">
        <v>13</v>
      </c>
      <c r="BM40" s="963">
        <f t="shared" si="9"/>
        <v>19842.761249999996</v>
      </c>
      <c r="BN40" s="947">
        <f t="shared" si="10"/>
        <v>0</v>
      </c>
      <c r="BO40" s="947"/>
      <c r="BP40" s="947">
        <f t="shared" si="11"/>
        <v>0</v>
      </c>
      <c r="BQ40" s="947">
        <f t="shared" si="12"/>
        <v>0</v>
      </c>
      <c r="BR40" s="947"/>
      <c r="BS40" s="947">
        <f t="shared" si="13"/>
        <v>0</v>
      </c>
      <c r="BT40" s="947">
        <f t="shared" si="14"/>
        <v>0</v>
      </c>
      <c r="BU40" s="947"/>
      <c r="BV40" s="947">
        <f t="shared" si="15"/>
        <v>0</v>
      </c>
      <c r="BW40" s="947">
        <f t="shared" si="16"/>
        <v>0</v>
      </c>
      <c r="BX40" s="947"/>
      <c r="BY40" s="947"/>
    </row>
    <row r="41" spans="1:77" s="851" customFormat="1" ht="16.5" customHeight="1">
      <c r="A41" s="979">
        <v>23</v>
      </c>
      <c r="B41" s="979" t="s">
        <v>637</v>
      </c>
      <c r="C41" s="979" t="s">
        <v>403</v>
      </c>
      <c r="D41" s="980" t="s">
        <v>581</v>
      </c>
      <c r="E41" s="979" t="s">
        <v>638</v>
      </c>
      <c r="F41" s="981" t="s">
        <v>374</v>
      </c>
      <c r="G41" s="982">
        <v>17697</v>
      </c>
      <c r="H41" s="951">
        <v>4.79</v>
      </c>
      <c r="I41" s="983">
        <f t="shared" si="4"/>
        <v>84768.63</v>
      </c>
      <c r="J41" s="981">
        <v>18</v>
      </c>
      <c r="K41" s="981"/>
      <c r="L41" s="954">
        <f t="shared" si="5"/>
        <v>0.88888888888888884</v>
      </c>
      <c r="M41" s="984"/>
      <c r="N41" s="985">
        <v>8</v>
      </c>
      <c r="O41" s="958">
        <v>3</v>
      </c>
      <c r="P41" s="985">
        <v>5</v>
      </c>
      <c r="Q41" s="985"/>
      <c r="R41" s="983">
        <f t="shared" si="18"/>
        <v>37674.94666666667</v>
      </c>
      <c r="S41" s="983"/>
      <c r="T41" s="983">
        <f t="shared" si="2"/>
        <v>23546.841666666667</v>
      </c>
      <c r="U41" s="983">
        <f t="shared" si="17"/>
        <v>15305.447083333334</v>
      </c>
      <c r="V41" s="986"/>
      <c r="W41" s="986"/>
      <c r="X41" s="987"/>
      <c r="Y41" s="986"/>
      <c r="Z41" s="986"/>
      <c r="AA41" s="986"/>
      <c r="AB41" s="988">
        <v>4</v>
      </c>
      <c r="AC41" s="989">
        <v>4</v>
      </c>
      <c r="AD41" s="988">
        <v>3</v>
      </c>
      <c r="AE41" s="985"/>
      <c r="AF41" s="988">
        <v>5</v>
      </c>
      <c r="AG41" s="990"/>
      <c r="AH41" s="990">
        <v>393</v>
      </c>
      <c r="AI41" s="990">
        <v>787</v>
      </c>
      <c r="AJ41" s="990">
        <v>369</v>
      </c>
      <c r="AK41" s="990"/>
      <c r="AL41" s="990">
        <v>492</v>
      </c>
      <c r="AM41" s="990"/>
      <c r="AN41" s="985"/>
      <c r="AO41" s="990"/>
      <c r="AP41" s="985"/>
      <c r="AQ41" s="990"/>
      <c r="AR41" s="985"/>
      <c r="AS41" s="990"/>
      <c r="AT41" s="988"/>
      <c r="AU41" s="988"/>
      <c r="AV41" s="988"/>
      <c r="AW41" s="988"/>
      <c r="AX41" s="991"/>
      <c r="AY41" s="985"/>
      <c r="AZ41" s="985"/>
      <c r="BA41" s="988"/>
      <c r="BB41" s="988"/>
      <c r="BC41" s="988"/>
      <c r="BD41" s="988"/>
      <c r="BE41" s="988">
        <f t="shared" si="6"/>
        <v>7652.7235416666681</v>
      </c>
      <c r="BF41" s="957">
        <f t="shared" si="7"/>
        <v>86220.958958333344</v>
      </c>
      <c r="BG41" s="992"/>
      <c r="BH41" s="961">
        <v>0.3</v>
      </c>
      <c r="BI41" s="961">
        <v>0.35</v>
      </c>
      <c r="BJ41" s="961">
        <v>0.4</v>
      </c>
      <c r="BK41" s="974">
        <f t="shared" si="8"/>
        <v>0.77777777777777768</v>
      </c>
      <c r="BL41" s="979">
        <v>14</v>
      </c>
      <c r="BM41" s="963">
        <f t="shared" si="9"/>
        <v>24724.183750000004</v>
      </c>
      <c r="BN41" s="947">
        <f t="shared" si="10"/>
        <v>0</v>
      </c>
      <c r="BO41" s="979"/>
      <c r="BP41" s="947">
        <f t="shared" si="11"/>
        <v>0</v>
      </c>
      <c r="BQ41" s="947">
        <f t="shared" si="12"/>
        <v>0</v>
      </c>
      <c r="BR41" s="979"/>
      <c r="BS41" s="947">
        <f t="shared" si="13"/>
        <v>0</v>
      </c>
      <c r="BT41" s="947">
        <f t="shared" si="14"/>
        <v>0</v>
      </c>
      <c r="BU41" s="979"/>
      <c r="BV41" s="947">
        <f t="shared" si="15"/>
        <v>0</v>
      </c>
      <c r="BW41" s="947">
        <f t="shared" si="16"/>
        <v>0</v>
      </c>
      <c r="BX41" s="979"/>
      <c r="BY41" s="979"/>
    </row>
    <row r="42" spans="1:77" s="773" customFormat="1" ht="15.75" customHeight="1">
      <c r="A42" s="947">
        <v>24</v>
      </c>
      <c r="B42" s="947" t="s">
        <v>609</v>
      </c>
      <c r="C42" s="947" t="s">
        <v>403</v>
      </c>
      <c r="D42" s="941" t="s">
        <v>582</v>
      </c>
      <c r="E42" s="947" t="s">
        <v>632</v>
      </c>
      <c r="F42" s="953" t="s">
        <v>374</v>
      </c>
      <c r="G42" s="951">
        <v>17697</v>
      </c>
      <c r="H42" s="951">
        <v>4.1399999999999997</v>
      </c>
      <c r="I42" s="952">
        <f t="shared" si="4"/>
        <v>73265.579999999987</v>
      </c>
      <c r="J42" s="953">
        <v>18</v>
      </c>
      <c r="K42" s="953">
        <v>18</v>
      </c>
      <c r="L42" s="954">
        <f t="shared" si="5"/>
        <v>0.77777777777777768</v>
      </c>
      <c r="M42" s="954"/>
      <c r="N42" s="958">
        <v>8</v>
      </c>
      <c r="O42" s="958">
        <v>6</v>
      </c>
      <c r="P42" s="958"/>
      <c r="Q42" s="958"/>
      <c r="R42" s="952">
        <f>I42/J42*N42</f>
        <v>32562.479999999996</v>
      </c>
      <c r="S42" s="952">
        <f>I42/J42*O42</f>
        <v>24421.859999999997</v>
      </c>
      <c r="T42" s="952">
        <f t="shared" si="2"/>
        <v>0</v>
      </c>
      <c r="U42" s="952">
        <f t="shared" si="17"/>
        <v>14246.084999999999</v>
      </c>
      <c r="V42" s="955"/>
      <c r="W42" s="955"/>
      <c r="X42" s="956"/>
      <c r="Y42" s="955"/>
      <c r="Z42" s="955"/>
      <c r="AA42" s="955"/>
      <c r="AB42" s="957">
        <v>8</v>
      </c>
      <c r="AC42" s="973"/>
      <c r="AD42" s="957">
        <v>6</v>
      </c>
      <c r="AE42" s="958"/>
      <c r="AF42" s="957"/>
      <c r="AG42" s="959"/>
      <c r="AH42" s="959">
        <f>G42*20%/18*AB42*50%</f>
        <v>786.5333333333333</v>
      </c>
      <c r="AI42" s="959"/>
      <c r="AJ42" s="959">
        <f>G42*20%/18*AD42*50%</f>
        <v>589.9</v>
      </c>
      <c r="AK42" s="959"/>
      <c r="AL42" s="959">
        <f>G42*20%/J42*AF42*50%</f>
        <v>0</v>
      </c>
      <c r="AM42" s="959"/>
      <c r="AN42" s="958"/>
      <c r="AO42" s="959"/>
      <c r="AP42" s="958"/>
      <c r="AQ42" s="959"/>
      <c r="AR42" s="958"/>
      <c r="AS42" s="959"/>
      <c r="AT42" s="957"/>
      <c r="AU42" s="958"/>
      <c r="AV42" s="957"/>
      <c r="AW42" s="957"/>
      <c r="AX42" s="960"/>
      <c r="AY42" s="958"/>
      <c r="AZ42" s="958"/>
      <c r="BA42" s="957"/>
      <c r="BB42" s="957"/>
      <c r="BC42" s="957">
        <v>2</v>
      </c>
      <c r="BD42" s="957">
        <f t="shared" ref="BD42:BD44" si="22">((G42*40%)/18)*BC42</f>
        <v>786.5333333333333</v>
      </c>
      <c r="BE42" s="957">
        <f t="shared" si="6"/>
        <v>7123.0424999999996</v>
      </c>
      <c r="BF42" s="957">
        <f t="shared" si="7"/>
        <v>80516.434166666659</v>
      </c>
      <c r="BG42" s="949"/>
      <c r="BH42" s="961">
        <v>0.3</v>
      </c>
      <c r="BI42" s="961">
        <v>0.35</v>
      </c>
      <c r="BJ42" s="961">
        <v>0.4</v>
      </c>
      <c r="BK42" s="974">
        <f t="shared" si="8"/>
        <v>0.77777777777777768</v>
      </c>
      <c r="BL42" s="947">
        <v>14</v>
      </c>
      <c r="BM42" s="963">
        <f t="shared" si="9"/>
        <v>21369.127499999995</v>
      </c>
      <c r="BN42" s="947">
        <f t="shared" si="10"/>
        <v>0</v>
      </c>
      <c r="BO42" s="947"/>
      <c r="BP42" s="947">
        <f t="shared" si="11"/>
        <v>0</v>
      </c>
      <c r="BQ42" s="947">
        <f t="shared" si="12"/>
        <v>0</v>
      </c>
      <c r="BR42" s="947"/>
      <c r="BS42" s="947">
        <f t="shared" si="13"/>
        <v>0</v>
      </c>
      <c r="BT42" s="947">
        <f t="shared" si="14"/>
        <v>0</v>
      </c>
      <c r="BU42" s="947"/>
      <c r="BV42" s="947">
        <f t="shared" si="15"/>
        <v>0</v>
      </c>
      <c r="BW42" s="947">
        <f t="shared" si="16"/>
        <v>0</v>
      </c>
      <c r="BX42" s="947"/>
      <c r="BY42" s="947"/>
    </row>
    <row r="43" spans="1:77" s="773" customFormat="1" ht="15.75" customHeight="1">
      <c r="A43" s="947">
        <v>25</v>
      </c>
      <c r="B43" s="947" t="s">
        <v>392</v>
      </c>
      <c r="C43" s="947" t="s">
        <v>646</v>
      </c>
      <c r="D43" s="941" t="s">
        <v>584</v>
      </c>
      <c r="E43" s="947" t="s">
        <v>645</v>
      </c>
      <c r="F43" s="953" t="s">
        <v>355</v>
      </c>
      <c r="G43" s="951">
        <v>17697</v>
      </c>
      <c r="H43" s="951">
        <v>3.32</v>
      </c>
      <c r="I43" s="952">
        <f t="shared" si="4"/>
        <v>58754.039999999994</v>
      </c>
      <c r="J43" s="953">
        <v>18</v>
      </c>
      <c r="K43" s="953"/>
      <c r="L43" s="954">
        <f t="shared" si="5"/>
        <v>1</v>
      </c>
      <c r="M43" s="954"/>
      <c r="N43" s="958">
        <v>18</v>
      </c>
      <c r="O43" s="958"/>
      <c r="P43" s="958"/>
      <c r="Q43" s="958"/>
      <c r="R43" s="952">
        <f>I43/J43*N43</f>
        <v>58754.039999999994</v>
      </c>
      <c r="S43" s="952"/>
      <c r="T43" s="952">
        <f t="shared" si="2"/>
        <v>0</v>
      </c>
      <c r="U43" s="952">
        <f t="shared" si="17"/>
        <v>14688.509999999998</v>
      </c>
      <c r="V43" s="955"/>
      <c r="W43" s="955"/>
      <c r="X43" s="956"/>
      <c r="Y43" s="955"/>
      <c r="Z43" s="955"/>
      <c r="AA43" s="955"/>
      <c r="AB43" s="957">
        <v>18</v>
      </c>
      <c r="AC43" s="973"/>
      <c r="AD43" s="957"/>
      <c r="AE43" s="958"/>
      <c r="AF43" s="957"/>
      <c r="AG43" s="959"/>
      <c r="AH43" s="959">
        <f>G43*20%/18*AB43*50%</f>
        <v>1769.6999999999998</v>
      </c>
      <c r="AI43" s="990"/>
      <c r="AJ43" s="959"/>
      <c r="AK43" s="959"/>
      <c r="AL43" s="959"/>
      <c r="AM43" s="959"/>
      <c r="AN43" s="958"/>
      <c r="AO43" s="959"/>
      <c r="AP43" s="958"/>
      <c r="AQ43" s="959"/>
      <c r="AR43" s="958"/>
      <c r="AS43" s="959"/>
      <c r="AT43" s="957">
        <v>2212</v>
      </c>
      <c r="AU43" s="958"/>
      <c r="AV43" s="957"/>
      <c r="AW43" s="957"/>
      <c r="AX43" s="960"/>
      <c r="AY43" s="958"/>
      <c r="AZ43" s="958"/>
      <c r="BA43" s="957"/>
      <c r="BB43" s="957"/>
      <c r="BC43" s="957">
        <v>17</v>
      </c>
      <c r="BD43" s="957">
        <f t="shared" si="22"/>
        <v>6685.5333333333328</v>
      </c>
      <c r="BE43" s="957">
        <f t="shared" si="6"/>
        <v>7344.2549999999992</v>
      </c>
      <c r="BF43" s="957">
        <f t="shared" si="7"/>
        <v>91454.03833333333</v>
      </c>
      <c r="BG43" s="949"/>
      <c r="BH43" s="961">
        <v>0.3</v>
      </c>
      <c r="BI43" s="961">
        <v>0.35</v>
      </c>
      <c r="BJ43" s="961">
        <v>0.4</v>
      </c>
      <c r="BK43" s="974" t="s">
        <v>676</v>
      </c>
      <c r="BL43" s="947">
        <v>18</v>
      </c>
      <c r="BM43" s="963">
        <f t="shared" si="9"/>
        <v>22032.764999999996</v>
      </c>
      <c r="BN43" s="947">
        <f t="shared" si="10"/>
        <v>0</v>
      </c>
      <c r="BO43" s="947"/>
      <c r="BP43" s="947">
        <f t="shared" si="11"/>
        <v>0</v>
      </c>
      <c r="BQ43" s="947">
        <f t="shared" si="12"/>
        <v>0</v>
      </c>
      <c r="BR43" s="947"/>
      <c r="BS43" s="947">
        <f t="shared" si="13"/>
        <v>0</v>
      </c>
      <c r="BT43" s="947">
        <f t="shared" si="14"/>
        <v>0</v>
      </c>
      <c r="BU43" s="947"/>
      <c r="BV43" s="947">
        <f t="shared" si="15"/>
        <v>0</v>
      </c>
      <c r="BW43" s="947">
        <f t="shared" si="16"/>
        <v>0</v>
      </c>
      <c r="BX43" s="947"/>
      <c r="BY43" s="947"/>
    </row>
    <row r="44" spans="1:77" s="773" customFormat="1" ht="15.75" customHeight="1">
      <c r="A44" s="947">
        <v>26</v>
      </c>
      <c r="B44" s="947" t="s">
        <v>641</v>
      </c>
      <c r="C44" s="947" t="s">
        <v>403</v>
      </c>
      <c r="D44" s="941" t="s">
        <v>582</v>
      </c>
      <c r="E44" s="947" t="s">
        <v>620</v>
      </c>
      <c r="F44" s="953" t="s">
        <v>355</v>
      </c>
      <c r="G44" s="951">
        <v>17697</v>
      </c>
      <c r="H44" s="951">
        <v>4.49</v>
      </c>
      <c r="I44" s="952">
        <f t="shared" si="4"/>
        <v>79459.53</v>
      </c>
      <c r="J44" s="953">
        <v>18</v>
      </c>
      <c r="K44" s="953"/>
      <c r="L44" s="954">
        <f t="shared" si="5"/>
        <v>0</v>
      </c>
      <c r="M44" s="954"/>
      <c r="N44" s="958"/>
      <c r="O44" s="958"/>
      <c r="P44" s="958"/>
      <c r="Q44" s="958"/>
      <c r="R44" s="952"/>
      <c r="S44" s="952"/>
      <c r="T44" s="952">
        <f t="shared" si="2"/>
        <v>0</v>
      </c>
      <c r="U44" s="952"/>
      <c r="V44" s="955"/>
      <c r="W44" s="955"/>
      <c r="X44" s="956"/>
      <c r="Y44" s="955"/>
      <c r="Z44" s="955"/>
      <c r="AA44" s="955"/>
      <c r="AB44" s="957"/>
      <c r="AC44" s="973"/>
      <c r="AD44" s="957"/>
      <c r="AE44" s="958"/>
      <c r="AF44" s="957"/>
      <c r="AG44" s="959"/>
      <c r="AH44" s="959"/>
      <c r="AI44" s="959"/>
      <c r="AJ44" s="959"/>
      <c r="AK44" s="959"/>
      <c r="AL44" s="959"/>
      <c r="AM44" s="959"/>
      <c r="AN44" s="958"/>
      <c r="AO44" s="959"/>
      <c r="AP44" s="958"/>
      <c r="AQ44" s="959"/>
      <c r="AR44" s="958"/>
      <c r="AS44" s="959"/>
      <c r="AT44" s="957"/>
      <c r="AU44" s="958"/>
      <c r="AV44" s="957"/>
      <c r="AW44" s="957"/>
      <c r="AX44" s="960">
        <v>2655</v>
      </c>
      <c r="AY44" s="958"/>
      <c r="AZ44" s="958"/>
      <c r="BA44" s="957">
        <v>3539</v>
      </c>
      <c r="BB44" s="957"/>
      <c r="BC44" s="957">
        <v>4</v>
      </c>
      <c r="BD44" s="957">
        <f t="shared" si="22"/>
        <v>1573.0666666666666</v>
      </c>
      <c r="BE44" s="957">
        <v>265</v>
      </c>
      <c r="BF44" s="957">
        <f t="shared" si="7"/>
        <v>8032.0666666666666</v>
      </c>
      <c r="BG44" s="949"/>
      <c r="BH44" s="961">
        <v>0.3</v>
      </c>
      <c r="BI44" s="961">
        <v>0.35</v>
      </c>
      <c r="BJ44" s="961">
        <v>0.4</v>
      </c>
      <c r="BK44" s="962">
        <f t="shared" si="8"/>
        <v>0</v>
      </c>
      <c r="BL44" s="947"/>
      <c r="BM44" s="963">
        <f t="shared" si="9"/>
        <v>0</v>
      </c>
      <c r="BN44" s="947">
        <f t="shared" si="10"/>
        <v>0</v>
      </c>
      <c r="BO44" s="947"/>
      <c r="BP44" s="947">
        <f t="shared" si="11"/>
        <v>0</v>
      </c>
      <c r="BQ44" s="947">
        <f t="shared" si="12"/>
        <v>0</v>
      </c>
      <c r="BR44" s="947"/>
      <c r="BS44" s="947">
        <f t="shared" si="13"/>
        <v>0</v>
      </c>
      <c r="BT44" s="947">
        <f t="shared" si="14"/>
        <v>0</v>
      </c>
      <c r="BU44" s="947"/>
      <c r="BV44" s="947">
        <f t="shared" si="15"/>
        <v>0</v>
      </c>
      <c r="BW44" s="947">
        <f t="shared" si="16"/>
        <v>0</v>
      </c>
      <c r="BX44" s="947"/>
      <c r="BY44" s="947"/>
    </row>
    <row r="45" spans="1:77" s="773" customFormat="1" ht="14.25" customHeight="1">
      <c r="A45" s="941" t="s">
        <v>302</v>
      </c>
      <c r="B45" s="941" t="s">
        <v>302</v>
      </c>
      <c r="C45" s="941" t="s">
        <v>302</v>
      </c>
      <c r="D45" s="941" t="s">
        <v>302</v>
      </c>
      <c r="E45" s="941" t="s">
        <v>302</v>
      </c>
      <c r="F45" s="941" t="s">
        <v>302</v>
      </c>
      <c r="G45" s="941" t="s">
        <v>302</v>
      </c>
      <c r="H45" s="941"/>
      <c r="I45" s="993">
        <f>SUM(I17:I44)</f>
        <v>2337419.7599999998</v>
      </c>
      <c r="J45" s="941" t="s">
        <v>302</v>
      </c>
      <c r="K45" s="947"/>
      <c r="L45" s="974">
        <f>SUM(L17:L44)</f>
        <v>20.833333333333336</v>
      </c>
      <c r="M45" s="974"/>
      <c r="N45" s="994">
        <f>SUM(N17:N44)</f>
        <v>115</v>
      </c>
      <c r="O45" s="994">
        <f t="shared" ref="O45:BF45" si="23">SUM(O17:O44)</f>
        <v>183</v>
      </c>
      <c r="P45" s="994">
        <f t="shared" si="23"/>
        <v>77</v>
      </c>
      <c r="Q45" s="994"/>
      <c r="R45" s="994">
        <f t="shared" si="23"/>
        <v>529140.30000000005</v>
      </c>
      <c r="S45" s="994">
        <f t="shared" si="23"/>
        <v>846821.11333333352</v>
      </c>
      <c r="T45" s="994">
        <f t="shared" si="23"/>
        <v>372954.44333333342</v>
      </c>
      <c r="U45" s="994">
        <f t="shared" si="23"/>
        <v>437228.96416666667</v>
      </c>
      <c r="V45" s="994">
        <f t="shared" si="23"/>
        <v>2.0000000000000004</v>
      </c>
      <c r="W45" s="994">
        <f t="shared" si="23"/>
        <v>4.0000000000000009</v>
      </c>
      <c r="X45" s="994">
        <f t="shared" si="23"/>
        <v>2.5</v>
      </c>
      <c r="Y45" s="994">
        <f t="shared" si="23"/>
        <v>5</v>
      </c>
      <c r="Z45" s="994">
        <f t="shared" si="23"/>
        <v>2.9999999999999991</v>
      </c>
      <c r="AA45" s="994">
        <f t="shared" si="23"/>
        <v>5.9999999999999982</v>
      </c>
      <c r="AB45" s="994">
        <f t="shared" si="23"/>
        <v>79</v>
      </c>
      <c r="AC45" s="994">
        <f t="shared" si="23"/>
        <v>22</v>
      </c>
      <c r="AD45" s="994">
        <f t="shared" si="23"/>
        <v>104</v>
      </c>
      <c r="AE45" s="994">
        <f t="shared" si="23"/>
        <v>0</v>
      </c>
      <c r="AF45" s="994">
        <f t="shared" si="23"/>
        <v>52</v>
      </c>
      <c r="AG45" s="994">
        <f t="shared" si="23"/>
        <v>0</v>
      </c>
      <c r="AH45" s="994">
        <f t="shared" si="23"/>
        <v>8332.0708333333314</v>
      </c>
      <c r="AI45" s="994">
        <f t="shared" si="23"/>
        <v>7078.8666666666668</v>
      </c>
      <c r="AJ45" s="994">
        <f t="shared" si="23"/>
        <v>12142.420833333332</v>
      </c>
      <c r="AK45" s="994">
        <f t="shared" si="23"/>
        <v>0</v>
      </c>
      <c r="AL45" s="994">
        <f t="shared" si="23"/>
        <v>5604.5083333333332</v>
      </c>
      <c r="AM45" s="994">
        <f t="shared" si="23"/>
        <v>0</v>
      </c>
      <c r="AN45" s="994">
        <f t="shared" si="23"/>
        <v>0</v>
      </c>
      <c r="AO45" s="994">
        <f t="shared" si="23"/>
        <v>0</v>
      </c>
      <c r="AP45" s="994">
        <f t="shared" si="23"/>
        <v>0</v>
      </c>
      <c r="AQ45" s="994">
        <f t="shared" si="23"/>
        <v>0</v>
      </c>
      <c r="AR45" s="994">
        <f t="shared" si="23"/>
        <v>0</v>
      </c>
      <c r="AS45" s="994">
        <f t="shared" si="23"/>
        <v>0</v>
      </c>
      <c r="AT45" s="994">
        <f t="shared" si="23"/>
        <v>6636</v>
      </c>
      <c r="AU45" s="994">
        <f t="shared" si="23"/>
        <v>4424</v>
      </c>
      <c r="AV45" s="994">
        <f t="shared" si="23"/>
        <v>13275</v>
      </c>
      <c r="AW45" s="994">
        <f t="shared" si="23"/>
        <v>0</v>
      </c>
      <c r="AX45" s="994">
        <f t="shared" si="23"/>
        <v>5310</v>
      </c>
      <c r="AY45" s="994">
        <f t="shared" si="23"/>
        <v>0</v>
      </c>
      <c r="AZ45" s="994">
        <f t="shared" si="23"/>
        <v>3540</v>
      </c>
      <c r="BA45" s="994">
        <f t="shared" si="23"/>
        <v>24773</v>
      </c>
      <c r="BB45" s="994">
        <f t="shared" si="23"/>
        <v>0</v>
      </c>
      <c r="BC45" s="994">
        <f t="shared" si="23"/>
        <v>31</v>
      </c>
      <c r="BD45" s="994">
        <f t="shared" si="23"/>
        <v>12191.266666666666</v>
      </c>
      <c r="BE45" s="994">
        <f t="shared" si="23"/>
        <v>218879.48208333334</v>
      </c>
      <c r="BF45" s="994">
        <f t="shared" si="23"/>
        <v>2508331.4362500007</v>
      </c>
      <c r="BG45" s="995"/>
      <c r="BH45" s="995"/>
      <c r="BI45" s="995"/>
      <c r="BJ45" s="995"/>
      <c r="BK45" s="994">
        <f t="shared" ref="BK45" si="24">SUM(BK17:BK44)</f>
        <v>17.666666666666668</v>
      </c>
      <c r="BL45" s="994">
        <f t="shared" ref="BL45" si="25">SUM(BL17:BL44)</f>
        <v>336</v>
      </c>
      <c r="BM45" s="994">
        <f t="shared" ref="BM45" si="26">SUM(BM17:BM44)</f>
        <v>589804.14124999987</v>
      </c>
      <c r="BN45" s="994">
        <f t="shared" ref="BN45" si="27">SUM(BN17:BN44)</f>
        <v>2.833333333333333</v>
      </c>
      <c r="BO45" s="994">
        <f t="shared" ref="BO45" si="28">SUM(BO17:BO44)</f>
        <v>51</v>
      </c>
      <c r="BP45" s="994">
        <f t="shared" ref="BP45" si="29">SUM(BP17:BP44)</f>
        <v>73354.065000000002</v>
      </c>
      <c r="BQ45" s="994">
        <f t="shared" ref="BQ45" si="30">SUM(BQ17:BQ44)</f>
        <v>2.0555555555555554</v>
      </c>
      <c r="BR45" s="994">
        <f t="shared" ref="BR45" si="31">SUM(BR17:BR44)</f>
        <v>37</v>
      </c>
      <c r="BS45" s="994">
        <f t="shared" ref="BS45" si="32">SUM(BS17:BS44)</f>
        <v>65125.943166666664</v>
      </c>
      <c r="BT45" s="994">
        <f t="shared" ref="BT45" si="33">SUM(BT17:BT44)</f>
        <v>4.3888888888888884</v>
      </c>
      <c r="BU45" s="994">
        <f t="shared" ref="BU45" si="34">SUM(BU17:BU44)</f>
        <v>79</v>
      </c>
      <c r="BV45" s="994">
        <f t="shared" ref="BV45" si="35">SUM(BV17:BV44)</f>
        <v>161093.82466666668</v>
      </c>
      <c r="BW45" s="994">
        <f t="shared" ref="BW45" si="36">SUM(BW17:BW44)</f>
        <v>1</v>
      </c>
      <c r="BX45" s="994">
        <f t="shared" ref="BX45" si="37">SUM(BX17:BX44)</f>
        <v>18</v>
      </c>
      <c r="BY45" s="994">
        <f t="shared" ref="BY45" si="38">SUM(BY17:BY44)</f>
        <v>35394</v>
      </c>
    </row>
    <row r="46" spans="1:77" s="773" customFormat="1" ht="12" customHeight="1">
      <c r="A46" s="949"/>
      <c r="B46" s="949"/>
      <c r="C46" s="949"/>
      <c r="D46" s="949"/>
      <c r="E46" s="996"/>
      <c r="F46" s="949"/>
      <c r="G46" s="996"/>
      <c r="H46" s="996"/>
      <c r="I46" s="997"/>
      <c r="J46" s="949"/>
      <c r="K46" s="949"/>
      <c r="L46" s="998"/>
      <c r="M46" s="998"/>
      <c r="N46" s="995"/>
      <c r="O46" s="995"/>
      <c r="P46" s="995"/>
      <c r="Q46" s="995"/>
      <c r="R46" s="995"/>
      <c r="S46" s="995"/>
      <c r="T46" s="999"/>
      <c r="U46" s="995"/>
      <c r="V46" s="995"/>
      <c r="W46" s="995"/>
      <c r="X46" s="995"/>
      <c r="Y46" s="995"/>
      <c r="Z46" s="995"/>
      <c r="AA46" s="995"/>
      <c r="AB46" s="995"/>
      <c r="AC46" s="995"/>
      <c r="AD46" s="995"/>
      <c r="AE46" s="995"/>
      <c r="AF46" s="995"/>
      <c r="AG46" s="995"/>
      <c r="AH46" s="995"/>
      <c r="AI46" s="995"/>
      <c r="AJ46" s="995"/>
      <c r="AK46" s="995"/>
      <c r="AL46" s="995"/>
      <c r="AM46" s="995"/>
      <c r="AN46" s="995"/>
      <c r="AO46" s="995"/>
      <c r="AP46" s="995"/>
      <c r="AQ46" s="995"/>
      <c r="AR46" s="995"/>
      <c r="AS46" s="995"/>
      <c r="AT46" s="995"/>
      <c r="AU46" s="995"/>
      <c r="AV46" s="995"/>
      <c r="AW46" s="995"/>
      <c r="AX46" s="995"/>
      <c r="AY46" s="995"/>
      <c r="AZ46" s="995"/>
      <c r="BA46" s="995"/>
      <c r="BB46" s="995"/>
      <c r="BC46" s="995"/>
      <c r="BD46" s="995"/>
      <c r="BE46" s="995"/>
      <c r="BF46" s="995"/>
      <c r="BG46" s="995"/>
      <c r="BH46" s="949"/>
      <c r="BI46" s="949"/>
      <c r="BJ46" s="949"/>
      <c r="BK46" s="949"/>
      <c r="BL46" s="1000"/>
      <c r="BM46" s="922"/>
      <c r="BN46" s="922"/>
      <c r="BO46" s="922"/>
      <c r="BP46" s="922"/>
      <c r="BQ46" s="922"/>
      <c r="BR46" s="922"/>
      <c r="BS46" s="922"/>
      <c r="BT46" s="922"/>
      <c r="BU46" s="922"/>
      <c r="BV46" s="922"/>
      <c r="BW46" s="922"/>
      <c r="BX46" s="922"/>
      <c r="BY46" s="922"/>
    </row>
    <row r="47" spans="1:77" s="773" customFormat="1" ht="12" customHeight="1">
      <c r="A47" s="949"/>
      <c r="B47" s="949"/>
      <c r="C47" s="949"/>
      <c r="D47" s="949"/>
      <c r="E47" s="996"/>
      <c r="F47" s="949"/>
      <c r="G47" s="996"/>
      <c r="H47" s="996"/>
      <c r="I47" s="997"/>
      <c r="J47" s="949"/>
      <c r="K47" s="949"/>
      <c r="L47" s="998"/>
      <c r="M47" s="998"/>
      <c r="N47" s="995"/>
      <c r="O47" s="995"/>
      <c r="P47" s="995"/>
      <c r="Q47" s="995"/>
      <c r="R47" s="995"/>
      <c r="S47" s="995"/>
      <c r="T47" s="999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995"/>
      <c r="AH47" s="995"/>
      <c r="AI47" s="995"/>
      <c r="AJ47" s="995"/>
      <c r="AK47" s="995"/>
      <c r="AL47" s="995"/>
      <c r="AM47" s="995"/>
      <c r="AN47" s="995"/>
      <c r="AO47" s="995"/>
      <c r="AP47" s="995"/>
      <c r="AQ47" s="995"/>
      <c r="AR47" s="995"/>
      <c r="AS47" s="995"/>
      <c r="AT47" s="995"/>
      <c r="AU47" s="995"/>
      <c r="AV47" s="995"/>
      <c r="AW47" s="995"/>
      <c r="AX47" s="995"/>
      <c r="AY47" s="995"/>
      <c r="AZ47" s="995"/>
      <c r="BA47" s="995"/>
      <c r="BB47" s="995"/>
      <c r="BC47" s="995"/>
      <c r="BD47" s="995"/>
      <c r="BE47" s="995"/>
      <c r="BF47" s="995"/>
      <c r="BG47" s="995"/>
      <c r="BH47" s="949"/>
      <c r="BI47" s="949"/>
      <c r="BJ47" s="949"/>
      <c r="BK47" s="949"/>
      <c r="BL47" s="1000"/>
      <c r="BM47" s="922"/>
      <c r="BN47" s="922"/>
      <c r="BO47" s="922"/>
      <c r="BP47" s="922"/>
      <c r="BQ47" s="922"/>
      <c r="BR47" s="922"/>
      <c r="BS47" s="922"/>
      <c r="BT47" s="922"/>
      <c r="BU47" s="922"/>
      <c r="BV47" s="922"/>
      <c r="BW47" s="922"/>
      <c r="BX47" s="922"/>
      <c r="BY47" s="922"/>
    </row>
    <row r="48" spans="1:77" s="773" customFormat="1" ht="13.5" customHeight="1">
      <c r="A48" s="949"/>
      <c r="B48" s="949"/>
      <c r="C48" s="949"/>
      <c r="D48" s="911" t="s">
        <v>303</v>
      </c>
      <c r="E48" s="922"/>
      <c r="F48" s="911"/>
      <c r="G48" s="919"/>
      <c r="H48" s="919"/>
      <c r="I48" s="919"/>
      <c r="J48" s="911" t="s">
        <v>603</v>
      </c>
      <c r="K48" s="916"/>
      <c r="L48" s="1001"/>
      <c r="M48" s="1001"/>
      <c r="N48" s="995"/>
      <c r="O48" s="995"/>
      <c r="P48" s="995"/>
      <c r="Q48" s="995"/>
      <c r="R48" s="995"/>
      <c r="S48" s="995"/>
      <c r="T48" s="995"/>
      <c r="U48" s="995"/>
      <c r="V48" s="995"/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995"/>
      <c r="AL48" s="995"/>
      <c r="AM48" s="995"/>
      <c r="AN48" s="995"/>
      <c r="AO48" s="995"/>
      <c r="AP48" s="995"/>
      <c r="AQ48" s="995"/>
      <c r="AR48" s="995"/>
      <c r="AS48" s="995"/>
      <c r="AT48" s="995"/>
      <c r="AU48" s="995"/>
      <c r="AV48" s="995"/>
      <c r="AW48" s="995"/>
      <c r="AX48" s="995"/>
      <c r="AY48" s="995"/>
      <c r="AZ48" s="995"/>
      <c r="BA48" s="995"/>
      <c r="BB48" s="995"/>
      <c r="BC48" s="995"/>
      <c r="BD48" s="995"/>
      <c r="BE48" s="995"/>
      <c r="BF48" s="995"/>
      <c r="BG48" s="995"/>
      <c r="BH48" s="922"/>
      <c r="BI48" s="949"/>
      <c r="BJ48" s="949"/>
      <c r="BK48" s="949"/>
      <c r="BL48" s="949"/>
      <c r="BM48" s="949"/>
      <c r="BN48" s="922"/>
      <c r="BO48" s="922"/>
      <c r="BP48" s="922"/>
      <c r="BQ48" s="922"/>
      <c r="BR48" s="922"/>
      <c r="BS48" s="922"/>
      <c r="BT48" s="922"/>
      <c r="BU48" s="922"/>
      <c r="BV48" s="922"/>
      <c r="BW48" s="922"/>
      <c r="BX48" s="922"/>
      <c r="BY48" s="922"/>
    </row>
    <row r="49" spans="1:77" s="773" customFormat="1" ht="11.25" customHeight="1">
      <c r="A49" s="949"/>
      <c r="B49" s="949"/>
      <c r="C49" s="949"/>
      <c r="D49" s="911"/>
      <c r="E49" s="922"/>
      <c r="F49" s="911"/>
      <c r="G49" s="919"/>
      <c r="H49" s="919"/>
      <c r="I49" s="919"/>
      <c r="J49" s="911"/>
      <c r="K49" s="911"/>
      <c r="L49" s="1001"/>
      <c r="M49" s="1001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5"/>
      <c r="AA49" s="995"/>
      <c r="AB49" s="995"/>
      <c r="AC49" s="995"/>
      <c r="AD49" s="995"/>
      <c r="AE49" s="995"/>
      <c r="AF49" s="995"/>
      <c r="AG49" s="995"/>
      <c r="AH49" s="995"/>
      <c r="AI49" s="995"/>
      <c r="AJ49" s="995"/>
      <c r="AK49" s="995"/>
      <c r="AL49" s="995"/>
      <c r="AM49" s="995"/>
      <c r="AN49" s="995"/>
      <c r="AO49" s="995"/>
      <c r="AP49" s="995"/>
      <c r="AQ49" s="995"/>
      <c r="AR49" s="995"/>
      <c r="AS49" s="995"/>
      <c r="AT49" s="995"/>
      <c r="AU49" s="995"/>
      <c r="AV49" s="995"/>
      <c r="AW49" s="995"/>
      <c r="AX49" s="995"/>
      <c r="AY49" s="995"/>
      <c r="AZ49" s="995"/>
      <c r="BA49" s="995"/>
      <c r="BB49" s="995"/>
      <c r="BC49" s="995"/>
      <c r="BD49" s="995"/>
      <c r="BE49" s="995"/>
      <c r="BF49" s="995"/>
      <c r="BG49" s="995"/>
      <c r="BH49" s="922"/>
      <c r="BI49" s="949"/>
      <c r="BJ49" s="949"/>
      <c r="BK49" s="949"/>
      <c r="BL49" s="949"/>
      <c r="BM49" s="949"/>
      <c r="BN49" s="922"/>
      <c r="BO49" s="922"/>
      <c r="BP49" s="922"/>
      <c r="BQ49" s="922"/>
      <c r="BR49" s="922"/>
      <c r="BS49" s="922"/>
      <c r="BT49" s="922"/>
      <c r="BU49" s="922"/>
      <c r="BV49" s="922"/>
      <c r="BW49" s="922"/>
      <c r="BX49" s="922"/>
      <c r="BY49" s="922"/>
    </row>
    <row r="50" spans="1:77" s="773" customFormat="1" ht="13.5" customHeight="1">
      <c r="A50" s="949"/>
      <c r="B50" s="949"/>
      <c r="C50" s="949"/>
      <c r="D50" s="911" t="s">
        <v>474</v>
      </c>
      <c r="E50" s="922"/>
      <c r="F50" s="911"/>
      <c r="G50" s="919"/>
      <c r="H50" s="919"/>
      <c r="I50" s="919"/>
      <c r="J50" s="911" t="s">
        <v>595</v>
      </c>
      <c r="K50" s="911"/>
      <c r="L50" s="1001"/>
      <c r="M50" s="1001"/>
      <c r="N50" s="922"/>
      <c r="O50" s="949"/>
      <c r="P50" s="1002"/>
      <c r="Q50" s="1002"/>
      <c r="R50" s="996"/>
      <c r="S50" s="922"/>
      <c r="T50" s="922"/>
      <c r="U50" s="996"/>
      <c r="V50" s="921"/>
      <c r="W50" s="922"/>
      <c r="X50" s="922"/>
      <c r="Y50" s="922"/>
      <c r="Z50" s="949"/>
      <c r="AA50" s="949"/>
      <c r="AB50" s="922"/>
      <c r="AC50" s="949"/>
      <c r="AD50" s="949"/>
      <c r="AE50" s="949"/>
      <c r="AF50" s="949"/>
      <c r="AG50" s="949"/>
      <c r="AH50" s="922"/>
      <c r="AI50" s="949"/>
      <c r="AJ50" s="949"/>
      <c r="AK50" s="949"/>
      <c r="AL50" s="949"/>
      <c r="AM50" s="949"/>
      <c r="AN50" s="949"/>
      <c r="AO50" s="949"/>
      <c r="AP50" s="949"/>
      <c r="AQ50" s="949"/>
      <c r="AR50" s="949"/>
      <c r="AS50" s="949"/>
      <c r="AT50" s="949"/>
      <c r="AU50" s="949"/>
      <c r="AV50" s="949"/>
      <c r="AW50" s="949"/>
      <c r="AX50" s="949"/>
      <c r="AY50" s="949"/>
      <c r="AZ50" s="949"/>
      <c r="BA50" s="949"/>
      <c r="BB50" s="949"/>
      <c r="BC50" s="949"/>
      <c r="BD50" s="949"/>
      <c r="BE50" s="949"/>
      <c r="BF50" s="949"/>
      <c r="BG50" s="1002"/>
      <c r="BH50" s="922"/>
      <c r="BI50" s="949"/>
      <c r="BJ50" s="949"/>
      <c r="BK50" s="949"/>
      <c r="BL50" s="949"/>
      <c r="BM50" s="949"/>
      <c r="BN50" s="922"/>
      <c r="BO50" s="922"/>
      <c r="BP50" s="922"/>
      <c r="BQ50" s="922"/>
      <c r="BR50" s="922"/>
      <c r="BS50" s="922"/>
      <c r="BT50" s="922"/>
      <c r="BU50" s="922"/>
      <c r="BV50" s="922"/>
      <c r="BW50" s="922"/>
      <c r="BX50" s="922"/>
      <c r="BY50" s="922"/>
    </row>
    <row r="51" spans="1:77" s="773" customFormat="1" ht="6.75" customHeight="1">
      <c r="A51" s="949"/>
      <c r="B51" s="949"/>
      <c r="C51" s="949"/>
      <c r="D51" s="911"/>
      <c r="E51" s="922"/>
      <c r="F51" s="911"/>
      <c r="G51" s="919"/>
      <c r="H51" s="919"/>
      <c r="I51" s="919"/>
      <c r="J51" s="911"/>
      <c r="K51" s="911"/>
      <c r="L51" s="1003"/>
      <c r="M51" s="1003"/>
      <c r="N51" s="922"/>
      <c r="O51" s="949"/>
      <c r="P51" s="1002"/>
      <c r="Q51" s="1002"/>
      <c r="R51" s="996"/>
      <c r="S51" s="922"/>
      <c r="T51" s="922"/>
      <c r="U51" s="996"/>
      <c r="V51" s="921"/>
      <c r="W51" s="922"/>
      <c r="X51" s="922"/>
      <c r="Y51" s="922"/>
      <c r="Z51" s="949"/>
      <c r="AA51" s="949"/>
      <c r="AB51" s="922"/>
      <c r="AC51" s="949"/>
      <c r="AD51" s="949"/>
      <c r="AE51" s="949"/>
      <c r="AF51" s="949"/>
      <c r="AG51" s="949"/>
      <c r="AH51" s="922"/>
      <c r="AI51" s="949"/>
      <c r="AJ51" s="949"/>
      <c r="AK51" s="949"/>
      <c r="AL51" s="949"/>
      <c r="AM51" s="949"/>
      <c r="AN51" s="949"/>
      <c r="AO51" s="949"/>
      <c r="AP51" s="949"/>
      <c r="AQ51" s="949"/>
      <c r="AR51" s="949"/>
      <c r="AS51" s="949"/>
      <c r="AT51" s="949"/>
      <c r="AU51" s="949"/>
      <c r="AV51" s="949"/>
      <c r="AW51" s="949"/>
      <c r="AX51" s="949"/>
      <c r="AY51" s="949"/>
      <c r="AZ51" s="949"/>
      <c r="BA51" s="949"/>
      <c r="BB51" s="949"/>
      <c r="BC51" s="949"/>
      <c r="BD51" s="949"/>
      <c r="BE51" s="949"/>
      <c r="BF51" s="949"/>
      <c r="BG51" s="1002"/>
      <c r="BH51" s="922"/>
      <c r="BI51" s="949"/>
      <c r="BJ51" s="949"/>
      <c r="BK51" s="949"/>
      <c r="BL51" s="949"/>
      <c r="BM51" s="949"/>
      <c r="BN51" s="922"/>
      <c r="BO51" s="922"/>
      <c r="BP51" s="922"/>
      <c r="BQ51" s="922"/>
      <c r="BR51" s="922"/>
      <c r="BS51" s="922"/>
      <c r="BT51" s="922"/>
      <c r="BU51" s="922"/>
      <c r="BV51" s="922"/>
      <c r="BW51" s="922"/>
      <c r="BX51" s="922"/>
      <c r="BY51" s="922"/>
    </row>
    <row r="52" spans="1:77" s="773" customFormat="1" ht="13.5" customHeight="1">
      <c r="A52" s="922"/>
      <c r="B52" s="922"/>
      <c r="C52" s="949"/>
      <c r="D52" s="916" t="s">
        <v>572</v>
      </c>
      <c r="E52" s="949"/>
      <c r="F52" s="916"/>
      <c r="G52" s="1004"/>
      <c r="H52" s="1004"/>
      <c r="I52" s="916"/>
      <c r="J52" s="916" t="s">
        <v>610</v>
      </c>
      <c r="K52" s="1005" t="s">
        <v>610</v>
      </c>
      <c r="L52" s="922"/>
      <c r="M52" s="922"/>
      <c r="N52" s="922"/>
      <c r="O52" s="922"/>
      <c r="P52" s="922"/>
      <c r="Q52" s="922"/>
      <c r="R52" s="1006"/>
      <c r="S52" s="922"/>
      <c r="T52" s="922"/>
      <c r="U52" s="921"/>
      <c r="V52" s="921"/>
      <c r="W52" s="922"/>
      <c r="X52" s="922"/>
      <c r="Y52" s="922"/>
      <c r="Z52" s="922"/>
      <c r="AA52" s="922"/>
      <c r="AB52" s="922"/>
      <c r="AC52" s="922"/>
      <c r="AD52" s="996"/>
      <c r="AE52" s="922"/>
      <c r="AF52" s="922"/>
      <c r="AG52" s="922"/>
      <c r="AH52" s="922"/>
      <c r="AI52" s="922"/>
      <c r="AJ52" s="922"/>
      <c r="AK52" s="922"/>
      <c r="AL52" s="922"/>
      <c r="AM52" s="922"/>
      <c r="AN52" s="922"/>
      <c r="AO52" s="922"/>
      <c r="AP52" s="922"/>
      <c r="AQ52" s="922"/>
      <c r="AR52" s="922"/>
      <c r="AS52" s="922"/>
      <c r="AT52" s="922"/>
      <c r="AU52" s="1343"/>
      <c r="AV52" s="1343"/>
      <c r="AW52" s="1343"/>
      <c r="AX52" s="1343"/>
      <c r="AY52" s="1343"/>
      <c r="AZ52" s="1343"/>
      <c r="BA52" s="1343"/>
      <c r="BB52" s="1007"/>
      <c r="BC52" s="922"/>
      <c r="BD52" s="922"/>
      <c r="BE52" s="922"/>
      <c r="BF52" s="922"/>
      <c r="BG52" s="922"/>
      <c r="BH52" s="922"/>
      <c r="BI52" s="949"/>
      <c r="BJ52" s="949"/>
      <c r="BK52" s="949"/>
      <c r="BL52" s="949"/>
      <c r="BM52" s="949"/>
      <c r="BN52" s="922"/>
      <c r="BO52" s="922"/>
      <c r="BP52" s="922"/>
      <c r="BQ52" s="922"/>
      <c r="BR52" s="922"/>
      <c r="BS52" s="922"/>
      <c r="BT52" s="922"/>
      <c r="BU52" s="922"/>
      <c r="BV52" s="922"/>
      <c r="BW52" s="922"/>
      <c r="BX52" s="922"/>
      <c r="BY52" s="922"/>
    </row>
    <row r="53" spans="1:77" s="773" customFormat="1" ht="13.5" customHeight="1">
      <c r="C53" s="772"/>
      <c r="D53" s="772"/>
      <c r="E53" s="778"/>
      <c r="F53" s="772"/>
      <c r="G53" s="778"/>
      <c r="H53" s="778"/>
      <c r="I53" s="778"/>
      <c r="J53" s="772"/>
      <c r="K53" s="772"/>
      <c r="L53" s="772"/>
      <c r="M53" s="772"/>
      <c r="R53" s="787"/>
      <c r="U53" s="783"/>
      <c r="V53" s="783"/>
      <c r="AD53" s="789"/>
      <c r="AT53" s="1328"/>
      <c r="AU53" s="1328"/>
      <c r="AV53" s="1328"/>
      <c r="AW53" s="1328"/>
      <c r="AX53" s="1328"/>
      <c r="AY53" s="1328"/>
      <c r="AZ53" s="1328"/>
      <c r="BA53" s="1328"/>
      <c r="BI53" s="772"/>
      <c r="BJ53" s="772"/>
      <c r="BK53" s="772"/>
      <c r="BL53" s="772"/>
      <c r="BM53" s="772"/>
    </row>
    <row r="54" spans="1:77" s="773" customFormat="1" ht="13.5" customHeight="1">
      <c r="E54" s="783"/>
      <c r="G54" s="783"/>
      <c r="H54" s="783"/>
      <c r="I54" s="783"/>
      <c r="R54" s="787" t="s">
        <v>419</v>
      </c>
      <c r="S54" s="788"/>
      <c r="T54" s="775"/>
      <c r="U54" s="779"/>
      <c r="AB54" s="788"/>
      <c r="AC54" s="788"/>
      <c r="AD54" s="772"/>
      <c r="AE54" s="788"/>
      <c r="AF54" s="788"/>
      <c r="AG54" s="788"/>
      <c r="AH54" s="788"/>
      <c r="AI54" s="788"/>
      <c r="AJ54" s="788"/>
      <c r="AK54" s="788"/>
      <c r="AL54" s="788"/>
      <c r="AM54" s="788"/>
      <c r="AN54" s="788"/>
      <c r="AO54" s="788"/>
      <c r="AP54" s="788"/>
      <c r="AQ54" s="788"/>
      <c r="AR54" s="788"/>
      <c r="AS54" s="788"/>
      <c r="AT54" s="1328"/>
      <c r="AU54" s="1328"/>
      <c r="AV54" s="1328"/>
      <c r="AW54" s="1328"/>
      <c r="AX54" s="1328"/>
      <c r="AY54" s="1328"/>
      <c r="AZ54" s="1328"/>
      <c r="BA54" s="1328"/>
      <c r="BB54" s="788"/>
      <c r="BC54" s="788"/>
      <c r="BD54" s="788"/>
      <c r="BE54" s="788"/>
      <c r="BF54" s="788"/>
      <c r="BI54" s="772"/>
      <c r="BJ54" s="772"/>
      <c r="BK54" s="772"/>
      <c r="BL54" s="772"/>
      <c r="BM54" s="772"/>
    </row>
    <row r="55" spans="1:77" s="751" customFormat="1" ht="10.35" customHeight="1">
      <c r="E55" s="746"/>
      <c r="G55" s="746"/>
      <c r="H55" s="746"/>
      <c r="I55" s="746"/>
      <c r="R55" s="746"/>
      <c r="T55" s="750"/>
      <c r="U55" s="754"/>
      <c r="AD55" s="750"/>
      <c r="BI55" s="750"/>
      <c r="BJ55" s="750"/>
      <c r="BK55" s="750"/>
      <c r="BL55" s="750"/>
      <c r="BM55" s="750"/>
    </row>
    <row r="56" spans="1:77" s="751" customFormat="1" ht="10.35" customHeight="1">
      <c r="E56" s="746"/>
      <c r="G56" s="746"/>
      <c r="H56" s="746"/>
      <c r="I56" s="746"/>
      <c r="R56" s="746"/>
      <c r="S56" s="757"/>
      <c r="T56" s="750"/>
      <c r="U56" s="754"/>
      <c r="V56" s="750"/>
      <c r="W56" s="750"/>
      <c r="AD56" s="750"/>
      <c r="BI56" s="750"/>
      <c r="BJ56" s="750"/>
      <c r="BK56" s="750"/>
      <c r="BL56" s="750"/>
      <c r="BM56" s="750"/>
    </row>
    <row r="57" spans="1:77" s="751" customFormat="1" ht="10.35" customHeight="1">
      <c r="E57" s="746"/>
      <c r="G57" s="746"/>
      <c r="H57" s="746"/>
      <c r="I57" s="746"/>
      <c r="R57" s="746"/>
      <c r="T57" s="750"/>
      <c r="U57" s="754"/>
      <c r="V57" s="750"/>
      <c r="W57" s="750"/>
      <c r="AD57" s="752"/>
      <c r="BI57" s="750"/>
      <c r="BJ57" s="750"/>
      <c r="BK57" s="750"/>
      <c r="BL57" s="750"/>
      <c r="BM57" s="750"/>
    </row>
    <row r="58" spans="1:77" s="751" customFormat="1" ht="10.35" customHeight="1">
      <c r="E58" s="746"/>
      <c r="G58" s="746"/>
      <c r="H58" s="746"/>
      <c r="I58" s="746"/>
      <c r="R58" s="746"/>
      <c r="T58" s="750"/>
      <c r="U58" s="754"/>
      <c r="V58" s="750"/>
      <c r="W58" s="750"/>
      <c r="AD58" s="752"/>
    </row>
    <row r="59" spans="1:77" s="751" customFormat="1" ht="10.35" customHeight="1">
      <c r="E59" s="746"/>
      <c r="G59" s="746"/>
      <c r="H59" s="746"/>
      <c r="I59" s="746"/>
      <c r="R59" s="746"/>
      <c r="T59" s="750"/>
      <c r="U59" s="754"/>
      <c r="V59" s="750"/>
      <c r="W59" s="750"/>
      <c r="AD59" s="752"/>
    </row>
    <row r="60" spans="1:77" s="751" customFormat="1" ht="10.35" customHeight="1">
      <c r="E60" s="746"/>
      <c r="G60" s="746"/>
      <c r="H60" s="746"/>
      <c r="I60" s="746"/>
      <c r="R60" s="746"/>
      <c r="T60" s="750"/>
      <c r="U60" s="754"/>
      <c r="V60" s="750"/>
      <c r="W60" s="750"/>
      <c r="AD60" s="752"/>
    </row>
    <row r="61" spans="1:77" s="751" customFormat="1" ht="15.75">
      <c r="E61" s="746"/>
      <c r="G61" s="746"/>
      <c r="H61" s="746"/>
      <c r="I61" s="746"/>
      <c r="R61" s="746"/>
      <c r="T61" s="750"/>
      <c r="U61" s="754"/>
      <c r="V61" s="750"/>
      <c r="W61" s="750"/>
      <c r="AD61" s="752"/>
    </row>
    <row r="62" spans="1:77" s="751" customFormat="1" ht="15.75">
      <c r="E62" s="746"/>
      <c r="G62" s="746"/>
      <c r="H62" s="746"/>
      <c r="I62" s="746"/>
      <c r="R62" s="746"/>
      <c r="T62" s="750"/>
      <c r="U62" s="754"/>
      <c r="V62" s="750"/>
      <c r="W62" s="750"/>
      <c r="AD62" s="752"/>
    </row>
    <row r="63" spans="1:77" s="751" customFormat="1" ht="15.75">
      <c r="E63" s="746"/>
      <c r="G63" s="746"/>
      <c r="H63" s="746"/>
      <c r="I63" s="746"/>
      <c r="R63" s="746"/>
      <c r="T63" s="750"/>
      <c r="U63" s="754"/>
      <c r="V63" s="750"/>
      <c r="W63" s="750"/>
      <c r="AD63" s="752"/>
    </row>
    <row r="64" spans="1:77" s="751" customFormat="1" ht="15.75">
      <c r="E64" s="746"/>
      <c r="G64" s="746"/>
      <c r="H64" s="746"/>
      <c r="I64" s="746"/>
      <c r="R64" s="746"/>
      <c r="T64" s="750"/>
      <c r="U64" s="754"/>
      <c r="V64" s="750"/>
      <c r="W64" s="750"/>
      <c r="AD64" s="752"/>
    </row>
    <row r="65" spans="5:45" s="751" customFormat="1" ht="15.75">
      <c r="E65" s="746"/>
      <c r="G65" s="746"/>
      <c r="H65" s="746"/>
      <c r="I65" s="746"/>
      <c r="R65" s="746"/>
      <c r="T65" s="750"/>
      <c r="U65" s="754"/>
      <c r="V65" s="750"/>
      <c r="W65" s="750"/>
      <c r="AD65" s="752"/>
    </row>
    <row r="66" spans="5:45" s="751" customFormat="1" ht="15.75">
      <c r="E66" s="746"/>
      <c r="G66" s="746"/>
      <c r="H66" s="746"/>
      <c r="I66" s="746"/>
      <c r="R66" s="746"/>
      <c r="T66" s="750"/>
      <c r="U66" s="754"/>
      <c r="V66" s="750"/>
      <c r="W66" s="750"/>
      <c r="AD66" s="752"/>
    </row>
    <row r="67" spans="5:45" s="751" customFormat="1" ht="15.75">
      <c r="E67" s="746"/>
      <c r="G67" s="746"/>
      <c r="H67" s="746"/>
      <c r="I67" s="746"/>
      <c r="R67" s="746"/>
      <c r="T67" s="750"/>
      <c r="U67" s="754"/>
      <c r="V67" s="750"/>
      <c r="W67" s="750"/>
      <c r="AD67" s="752"/>
    </row>
    <row r="68" spans="5:45" s="751" customFormat="1" ht="15.75">
      <c r="E68" s="746"/>
      <c r="G68" s="746"/>
      <c r="H68" s="746"/>
      <c r="I68" s="746"/>
      <c r="R68" s="746"/>
      <c r="T68" s="750"/>
      <c r="U68" s="754"/>
      <c r="V68" s="750"/>
      <c r="W68" s="750"/>
      <c r="AD68" s="752"/>
    </row>
    <row r="69" spans="5:45" s="751" customFormat="1" ht="15.75">
      <c r="E69" s="746"/>
      <c r="G69" s="746"/>
      <c r="H69" s="746"/>
      <c r="I69" s="746"/>
      <c r="R69" s="746"/>
      <c r="T69" s="750"/>
      <c r="U69" s="754"/>
      <c r="V69" s="750"/>
      <c r="W69" s="750"/>
      <c r="AD69" s="752"/>
    </row>
    <row r="70" spans="5:45" s="751" customFormat="1" ht="15.75">
      <c r="E70" s="746"/>
      <c r="G70" s="746"/>
      <c r="H70" s="746"/>
      <c r="I70" s="746"/>
      <c r="R70" s="746"/>
      <c r="T70" s="750"/>
      <c r="U70" s="754"/>
      <c r="V70" s="750"/>
      <c r="W70" s="750"/>
      <c r="AD70" s="752"/>
    </row>
    <row r="71" spans="5:45" s="751" customFormat="1" ht="15.75">
      <c r="E71" s="746"/>
      <c r="G71" s="746"/>
      <c r="H71" s="746"/>
      <c r="I71" s="746"/>
      <c r="R71" s="746"/>
      <c r="T71" s="750"/>
      <c r="U71" s="754"/>
      <c r="V71" s="750"/>
      <c r="W71" s="750"/>
      <c r="AD71" s="752"/>
    </row>
    <row r="72" spans="5:45" s="751" customFormat="1" ht="15.75">
      <c r="E72" s="746"/>
      <c r="G72" s="746"/>
      <c r="H72" s="746"/>
      <c r="I72" s="746"/>
      <c r="R72" s="746"/>
      <c r="T72" s="750"/>
      <c r="U72" s="754"/>
      <c r="V72" s="750"/>
      <c r="W72" s="750"/>
      <c r="AD72" s="752"/>
    </row>
    <row r="73" spans="5:45" s="751" customFormat="1" ht="15.75">
      <c r="E73" s="746"/>
      <c r="G73" s="746"/>
      <c r="H73" s="746"/>
      <c r="I73" s="746"/>
      <c r="R73" s="746"/>
      <c r="T73" s="750"/>
      <c r="U73" s="754"/>
      <c r="V73" s="750"/>
      <c r="W73" s="750"/>
      <c r="AD73" s="752"/>
    </row>
    <row r="74" spans="5:45" s="745" customFormat="1" ht="15.75">
      <c r="E74" s="746"/>
      <c r="G74" s="755"/>
      <c r="H74" s="755"/>
      <c r="I74" s="755"/>
      <c r="R74" s="755"/>
      <c r="T74" s="747"/>
      <c r="U74" s="756"/>
      <c r="V74" s="747"/>
      <c r="W74" s="747"/>
      <c r="AD74" s="753"/>
    </row>
    <row r="75" spans="5:45" s="745" customFormat="1" ht="15.75">
      <c r="E75" s="746"/>
      <c r="G75" s="755"/>
      <c r="H75" s="755"/>
      <c r="I75" s="755"/>
      <c r="R75" s="755"/>
      <c r="T75" s="747"/>
      <c r="U75" s="756"/>
      <c r="V75" s="747"/>
      <c r="W75" s="747"/>
      <c r="AD75" s="753"/>
    </row>
    <row r="76" spans="5:45" s="745" customFormat="1" ht="15.75">
      <c r="E76" s="746"/>
      <c r="G76" s="755"/>
      <c r="H76" s="755"/>
      <c r="I76" s="755"/>
      <c r="R76" s="755"/>
      <c r="U76" s="755"/>
      <c r="AD76" s="753"/>
    </row>
    <row r="77" spans="5:45" s="745" customFormat="1" ht="15.75">
      <c r="E77" s="746"/>
      <c r="G77" s="755"/>
      <c r="H77" s="755"/>
      <c r="I77" s="755"/>
      <c r="R77" s="755"/>
      <c r="U77" s="755"/>
      <c r="AD77" s="753"/>
    </row>
    <row r="78" spans="5:45" s="745" customFormat="1" ht="15.75">
      <c r="E78" s="746"/>
      <c r="G78" s="755"/>
      <c r="H78" s="755"/>
      <c r="I78" s="755"/>
      <c r="R78" s="755"/>
      <c r="U78" s="755"/>
      <c r="AD78" s="753"/>
    </row>
    <row r="79" spans="5:45" s="745" customFormat="1" ht="15.75">
      <c r="E79" s="746"/>
      <c r="G79" s="755"/>
      <c r="H79" s="755"/>
      <c r="I79" s="755"/>
      <c r="R79" s="755"/>
      <c r="U79" s="755"/>
      <c r="AD79" s="753"/>
      <c r="AN79" s="758"/>
      <c r="AO79" s="758"/>
      <c r="AP79" s="758"/>
      <c r="AQ79" s="758"/>
      <c r="AR79" s="758"/>
      <c r="AS79" s="758"/>
    </row>
    <row r="80" spans="5:45" s="745" customFormat="1" ht="15.75">
      <c r="E80" s="746"/>
      <c r="G80" s="755"/>
      <c r="H80" s="755"/>
      <c r="I80" s="755"/>
      <c r="R80" s="755"/>
      <c r="U80" s="755"/>
      <c r="AD80" s="753"/>
      <c r="AN80" s="758"/>
      <c r="AO80" s="758"/>
      <c r="AP80" s="758"/>
      <c r="AQ80" s="758"/>
      <c r="AR80" s="758"/>
      <c r="AS80" s="758"/>
    </row>
    <row r="81" spans="5:58" s="327" customFormat="1" ht="12.75">
      <c r="E81" s="719"/>
      <c r="G81" s="759"/>
      <c r="H81" s="759"/>
      <c r="I81" s="759"/>
      <c r="R81" s="759"/>
      <c r="U81" s="759"/>
      <c r="AD81" s="690"/>
      <c r="AN81" s="701"/>
      <c r="AO81" s="701"/>
      <c r="AP81" s="701"/>
      <c r="AQ81" s="701"/>
      <c r="AR81" s="701"/>
      <c r="AS81" s="701"/>
    </row>
    <row r="82" spans="5:58" s="327" customFormat="1" ht="12.75">
      <c r="E82" s="719"/>
      <c r="G82" s="759"/>
      <c r="H82" s="759"/>
      <c r="I82" s="759"/>
      <c r="R82" s="759"/>
      <c r="U82" s="759"/>
      <c r="AD82" s="690"/>
      <c r="AN82" s="701"/>
      <c r="AO82" s="701"/>
      <c r="AP82" s="701"/>
      <c r="AQ82" s="701"/>
      <c r="AR82" s="701"/>
      <c r="AS82" s="701"/>
    </row>
    <row r="83" spans="5:58" ht="12.75">
      <c r="AD83" s="689"/>
      <c r="BF83" s="326"/>
    </row>
    <row r="84" spans="5:58" ht="12.75">
      <c r="AD84" s="689"/>
      <c r="BF84" s="326"/>
    </row>
    <row r="85" spans="5:58" ht="12.75">
      <c r="AD85" s="689"/>
      <c r="BF85" s="326"/>
    </row>
    <row r="86" spans="5:58" ht="12.75">
      <c r="AD86" s="689"/>
    </row>
    <row r="87" spans="5:58" ht="12.75">
      <c r="AD87" s="689"/>
    </row>
    <row r="88" spans="5:58" ht="12.75">
      <c r="AD88" s="689"/>
    </row>
    <row r="89" spans="5:58" ht="12.75">
      <c r="AD89" s="690"/>
    </row>
    <row r="90" spans="5:58" ht="12.75">
      <c r="AD90" s="689"/>
    </row>
  </sheetData>
  <mergeCells count="60">
    <mergeCell ref="F14:F16"/>
    <mergeCell ref="C3:AJ3"/>
    <mergeCell ref="AT3:AX3"/>
    <mergeCell ref="AT4:AX4"/>
    <mergeCell ref="C5:L5"/>
    <mergeCell ref="AT5:AX5"/>
    <mergeCell ref="AT6:AX6"/>
    <mergeCell ref="R14:T14"/>
    <mergeCell ref="AT7:AX7"/>
    <mergeCell ref="AT8:AX8"/>
    <mergeCell ref="AT9:AX9"/>
    <mergeCell ref="AT12:AX12"/>
    <mergeCell ref="G14:G16"/>
    <mergeCell ref="H14:H16"/>
    <mergeCell ref="I14:I16"/>
    <mergeCell ref="L14:L16"/>
    <mergeCell ref="B14:B15"/>
    <mergeCell ref="C14:C16"/>
    <mergeCell ref="D14:D16"/>
    <mergeCell ref="E14:E16"/>
    <mergeCell ref="BB14:BB16"/>
    <mergeCell ref="BC14:BC16"/>
    <mergeCell ref="BE14:BE16"/>
    <mergeCell ref="BF14:BF16"/>
    <mergeCell ref="N14:P14"/>
    <mergeCell ref="AT14:AY14"/>
    <mergeCell ref="AH15:AI15"/>
    <mergeCell ref="AJ15:AK15"/>
    <mergeCell ref="AL15:AM15"/>
    <mergeCell ref="AN15:AO15"/>
    <mergeCell ref="U14:U16"/>
    <mergeCell ref="V14:Y14"/>
    <mergeCell ref="AB14:AG14"/>
    <mergeCell ref="AH14:AM14"/>
    <mergeCell ref="AN14:AS14"/>
    <mergeCell ref="T15:T16"/>
    <mergeCell ref="AB15:AC15"/>
    <mergeCell ref="AD15:AE15"/>
    <mergeCell ref="AF15:AG15"/>
    <mergeCell ref="AZ14:AZ16"/>
    <mergeCell ref="N15:N16"/>
    <mergeCell ref="O15:O16"/>
    <mergeCell ref="P15:P16"/>
    <mergeCell ref="R15:R16"/>
    <mergeCell ref="S15:S16"/>
    <mergeCell ref="AT53:BA53"/>
    <mergeCell ref="AT54:BA54"/>
    <mergeCell ref="AP15:AQ15"/>
    <mergeCell ref="AR15:AS15"/>
    <mergeCell ref="AT15:AU15"/>
    <mergeCell ref="AV15:AW15"/>
    <mergeCell ref="AX15:AY15"/>
    <mergeCell ref="AU52:BA52"/>
    <mergeCell ref="BA14:BA16"/>
    <mergeCell ref="BD14:BD16"/>
    <mergeCell ref="BK14:BM15"/>
    <mergeCell ref="BN14:BP15"/>
    <mergeCell ref="BW14:BY15"/>
    <mergeCell ref="BT14:BV15"/>
    <mergeCell ref="BQ14:BS15"/>
  </mergeCells>
  <pageMargins left="0.19685039370078741" right="0" top="1.3779527559055118" bottom="0" header="1.3779527559055118" footer="0"/>
  <pageSetup paperSize="9" scale="39" fitToWidth="2" fitToHeight="2" orientation="landscape" r:id="rId1"/>
  <colBreaks count="1" manualBreakCount="1">
    <brk id="27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3"/>
  <sheetViews>
    <sheetView topLeftCell="K7" workbookViewId="0">
      <selection activeCell="J50" sqref="J50"/>
    </sheetView>
  </sheetViews>
  <sheetFormatPr defaultRowHeight="12.75"/>
  <cols>
    <col min="1" max="1" width="3.140625" style="28" customWidth="1"/>
    <col min="2" max="2" width="28.5703125" style="28" customWidth="1"/>
    <col min="3" max="3" width="15.7109375" style="28" customWidth="1"/>
    <col min="4" max="4" width="7.7109375" style="28" customWidth="1"/>
    <col min="5" max="5" width="9" style="28" customWidth="1"/>
    <col min="6" max="6" width="8.140625" style="28" hidden="1" customWidth="1"/>
    <col min="7" max="7" width="2.7109375" style="30" customWidth="1"/>
    <col min="8" max="8" width="6.28515625" style="26" customWidth="1"/>
    <col min="9" max="9" width="6" style="26" customWidth="1"/>
    <col min="10" max="10" width="4.85546875" style="28" customWidth="1"/>
    <col min="11" max="11" width="5.42578125" style="28" customWidth="1"/>
    <col min="12" max="12" width="5.28515625" style="316" customWidth="1"/>
    <col min="13" max="13" width="6" style="28" customWidth="1"/>
    <col min="14" max="14" width="3.28515625" style="28" customWidth="1"/>
    <col min="15" max="15" width="3" style="28" customWidth="1"/>
    <col min="16" max="16" width="3.42578125" style="28" customWidth="1"/>
    <col min="17" max="17" width="6.28515625" style="28" customWidth="1"/>
    <col min="18" max="18" width="3.7109375" style="28" customWidth="1"/>
    <col min="19" max="20" width="6" style="28" customWidth="1"/>
    <col min="21" max="21" width="6.42578125" style="28" customWidth="1"/>
    <col min="22" max="22" width="6.42578125" style="28" hidden="1" customWidth="1"/>
    <col min="23" max="23" width="2.28515625" style="28" hidden="1" customWidth="1"/>
    <col min="24" max="24" width="6.28515625" style="28" customWidth="1"/>
    <col min="25" max="26" width="5.42578125" style="28" hidden="1" customWidth="1"/>
    <col min="27" max="27" width="6.140625" style="28" hidden="1" customWidth="1"/>
    <col min="28" max="28" width="4" style="28" hidden="1" customWidth="1"/>
    <col min="29" max="29" width="4.28515625" style="28" hidden="1" customWidth="1"/>
    <col min="30" max="30" width="4.5703125" style="28" hidden="1" customWidth="1"/>
    <col min="31" max="31" width="3.42578125" style="28" customWidth="1"/>
    <col min="32" max="32" width="4.7109375" style="28" customWidth="1"/>
    <col min="33" max="33" width="3.7109375" style="28" customWidth="1"/>
    <col min="34" max="34" width="4.42578125" style="28" customWidth="1"/>
    <col min="35" max="35" width="3.42578125" style="28" customWidth="1"/>
    <col min="36" max="36" width="4.7109375" style="28" customWidth="1"/>
    <col min="37" max="37" width="4.42578125" style="28" customWidth="1"/>
    <col min="38" max="38" width="4.7109375" style="28" customWidth="1"/>
    <col min="39" max="39" width="5.7109375" style="28" customWidth="1"/>
    <col min="40" max="40" width="4.7109375" style="28" customWidth="1"/>
    <col min="41" max="41" width="4.42578125" style="28" customWidth="1"/>
    <col min="42" max="42" width="4.28515625" style="28" customWidth="1"/>
    <col min="43" max="43" width="3" style="28" customWidth="1"/>
    <col min="44" max="44" width="4.140625" style="28" customWidth="1"/>
    <col min="45" max="45" width="3.140625" style="28" customWidth="1"/>
    <col min="46" max="46" width="4.7109375" style="28" customWidth="1"/>
    <col min="47" max="47" width="2.85546875" style="28" customWidth="1"/>
    <col min="48" max="48" width="4.85546875" style="28" customWidth="1"/>
    <col min="49" max="50" width="4.7109375" style="28" customWidth="1"/>
    <col min="51" max="51" width="5.85546875" style="28" customWidth="1"/>
    <col min="52" max="52" width="4.85546875" style="334" customWidth="1"/>
    <col min="53" max="53" width="5" style="28" customWidth="1"/>
    <col min="54" max="54" width="4.42578125" style="334" customWidth="1"/>
    <col min="55" max="55" width="6.28515625" style="334" customWidth="1"/>
    <col min="56" max="56" width="8.140625" style="28" customWidth="1"/>
    <col min="57" max="57" width="5.140625" style="26" customWidth="1"/>
    <col min="58" max="58" width="4.5703125" style="30" customWidth="1"/>
    <col min="59" max="59" width="6.85546875" style="28" customWidth="1"/>
    <col min="60" max="60" width="11.140625" style="29" customWidth="1"/>
    <col min="61" max="80" width="9.140625" style="29"/>
    <col min="81" max="16384" width="9.140625" style="28"/>
  </cols>
  <sheetData>
    <row r="1" spans="1:83" ht="12" customHeight="1">
      <c r="A1" s="277"/>
      <c r="B1" s="277"/>
      <c r="C1" s="277"/>
      <c r="D1" s="277"/>
      <c r="E1" s="277"/>
      <c r="F1" s="277"/>
      <c r="G1" s="278"/>
      <c r="H1" s="277"/>
      <c r="I1" s="277"/>
      <c r="J1" s="277"/>
      <c r="K1" s="277"/>
      <c r="L1" s="279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4"/>
      <c r="AT1" s="4"/>
      <c r="AU1" s="4"/>
      <c r="AV1" s="4"/>
      <c r="AW1" s="1090" t="s">
        <v>305</v>
      </c>
      <c r="AX1" s="1091"/>
      <c r="AY1" s="1091"/>
      <c r="AZ1" s="1091"/>
      <c r="BA1" s="1092"/>
      <c r="BB1" s="280">
        <v>0</v>
      </c>
      <c r="BC1" s="280"/>
      <c r="BD1" s="281" t="s">
        <v>306</v>
      </c>
      <c r="BE1" s="281" t="s">
        <v>307</v>
      </c>
      <c r="BF1" s="281" t="s">
        <v>308</v>
      </c>
      <c r="BG1" s="104" t="s">
        <v>309</v>
      </c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6"/>
      <c r="CD1" s="26"/>
      <c r="CE1" s="26"/>
    </row>
    <row r="2" spans="1:83" ht="12" customHeight="1">
      <c r="A2" s="277"/>
      <c r="B2" s="102" t="s">
        <v>258</v>
      </c>
      <c r="C2" s="277"/>
      <c r="D2" s="277"/>
      <c r="E2" s="277"/>
      <c r="F2" s="277"/>
      <c r="G2" s="278"/>
      <c r="H2" s="277"/>
      <c r="I2" s="277"/>
      <c r="J2" s="277"/>
      <c r="K2" s="277"/>
      <c r="L2" s="279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4"/>
      <c r="AT2" s="4"/>
      <c r="AU2" s="4"/>
      <c r="AV2" s="4"/>
      <c r="AW2" s="1090" t="s">
        <v>311</v>
      </c>
      <c r="AX2" s="1091"/>
      <c r="AY2" s="1091"/>
      <c r="AZ2" s="1091"/>
      <c r="BA2" s="1092"/>
      <c r="BB2" s="280">
        <v>1</v>
      </c>
      <c r="BC2" s="280"/>
      <c r="BD2" s="103">
        <v>4</v>
      </c>
      <c r="BE2" s="103">
        <v>5</v>
      </c>
      <c r="BF2" s="103">
        <v>2</v>
      </c>
      <c r="BG2" s="103">
        <f t="shared" ref="BG2:BG7" si="0">SUM(BB2:BF2)</f>
        <v>12</v>
      </c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6"/>
      <c r="CD2" s="26"/>
      <c r="CE2" s="26"/>
    </row>
    <row r="3" spans="1:83" ht="12" customHeight="1">
      <c r="A3" s="277"/>
      <c r="B3" s="105"/>
      <c r="C3" s="277"/>
      <c r="D3" s="277"/>
      <c r="E3" s="277"/>
      <c r="F3" s="277"/>
      <c r="G3" s="278"/>
      <c r="H3" s="277"/>
      <c r="I3" s="277"/>
      <c r="J3" s="277"/>
      <c r="K3" s="277"/>
      <c r="L3" s="279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4"/>
      <c r="AT3" s="4"/>
      <c r="AU3" s="4"/>
      <c r="AV3" s="4"/>
      <c r="AW3" s="1090" t="s">
        <v>312</v>
      </c>
      <c r="AX3" s="1091"/>
      <c r="AY3" s="1091"/>
      <c r="AZ3" s="1091"/>
      <c r="BA3" s="1092"/>
      <c r="BB3" s="280">
        <v>1</v>
      </c>
      <c r="BC3" s="280"/>
      <c r="BD3" s="103">
        <v>4</v>
      </c>
      <c r="BE3" s="103">
        <v>5</v>
      </c>
      <c r="BF3" s="103">
        <v>2</v>
      </c>
      <c r="BG3" s="103">
        <f t="shared" si="0"/>
        <v>12</v>
      </c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6"/>
      <c r="CD3" s="26"/>
      <c r="CE3" s="26"/>
    </row>
    <row r="4" spans="1:83" ht="12" customHeight="1">
      <c r="A4" s="277"/>
      <c r="B4" s="105" t="s">
        <v>259</v>
      </c>
      <c r="C4" s="277"/>
      <c r="D4" s="277"/>
      <c r="E4" s="277"/>
      <c r="F4" s="277"/>
      <c r="G4" s="278"/>
      <c r="H4" s="112" t="s">
        <v>182</v>
      </c>
      <c r="I4" s="282"/>
      <c r="J4" s="282"/>
      <c r="K4" s="282"/>
      <c r="L4" s="283"/>
      <c r="M4" s="282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/>
      <c r="AR4" s="4"/>
      <c r="AS4" s="4"/>
      <c r="AT4" s="4"/>
      <c r="AU4" s="4"/>
      <c r="AV4" s="4"/>
      <c r="AW4" s="1090" t="s">
        <v>313</v>
      </c>
      <c r="AX4" s="1091"/>
      <c r="AY4" s="1091"/>
      <c r="AZ4" s="1091"/>
      <c r="BA4" s="1092"/>
      <c r="BB4" s="280">
        <v>8</v>
      </c>
      <c r="BC4" s="280"/>
      <c r="BD4" s="103">
        <v>34</v>
      </c>
      <c r="BE4" s="103">
        <v>59</v>
      </c>
      <c r="BF4" s="103">
        <v>18</v>
      </c>
      <c r="BG4" s="103">
        <f t="shared" si="0"/>
        <v>119</v>
      </c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6"/>
      <c r="CD4" s="26"/>
      <c r="CE4" s="26"/>
    </row>
    <row r="5" spans="1:83" ht="12" customHeight="1">
      <c r="A5" s="277"/>
      <c r="B5" s="105"/>
      <c r="C5" s="277"/>
      <c r="D5" s="277"/>
      <c r="E5" s="277"/>
      <c r="F5" s="277"/>
      <c r="G5" s="278"/>
      <c r="H5" s="282"/>
      <c r="I5" s="282"/>
      <c r="J5" s="282"/>
      <c r="K5" s="282"/>
      <c r="L5" s="283"/>
      <c r="M5" s="282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  <c r="AR5" s="4"/>
      <c r="AS5" s="4"/>
      <c r="AT5" s="4"/>
      <c r="AU5" s="4"/>
      <c r="AV5" s="4"/>
      <c r="AW5" s="1090" t="s">
        <v>314</v>
      </c>
      <c r="AX5" s="1091"/>
      <c r="AY5" s="1091"/>
      <c r="AZ5" s="1091"/>
      <c r="BA5" s="1092"/>
      <c r="BB5" s="280"/>
      <c r="BC5" s="280"/>
      <c r="BD5" s="103">
        <f>BD7+BD8</f>
        <v>107</v>
      </c>
      <c r="BE5" s="103">
        <v>173</v>
      </c>
      <c r="BF5" s="103">
        <v>78</v>
      </c>
      <c r="BG5" s="103">
        <f>BG7+BG8</f>
        <v>368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6"/>
      <c r="CD5" s="26"/>
      <c r="CE5" s="26"/>
    </row>
    <row r="6" spans="1:83" ht="12" customHeight="1">
      <c r="A6" s="277"/>
      <c r="B6" s="105" t="s">
        <v>514</v>
      </c>
      <c r="C6" s="277"/>
      <c r="D6" s="277"/>
      <c r="E6" s="277"/>
      <c r="F6" s="277"/>
      <c r="G6" s="278"/>
      <c r="H6" s="1089" t="s">
        <v>515</v>
      </c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277"/>
      <c r="U6" s="277"/>
      <c r="V6" s="277"/>
      <c r="W6" s="27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"/>
      <c r="AR6" s="4"/>
      <c r="AS6" s="4"/>
      <c r="AT6" s="4"/>
      <c r="AU6" s="4"/>
      <c r="AV6" s="4"/>
      <c r="AW6" s="1090" t="s">
        <v>395</v>
      </c>
      <c r="AX6" s="1091"/>
      <c r="AY6" s="1091"/>
      <c r="AZ6" s="1091"/>
      <c r="BA6" s="1092"/>
      <c r="BB6" s="280"/>
      <c r="BC6" s="280"/>
      <c r="BD6" s="103"/>
      <c r="BE6" s="39"/>
      <c r="BF6" s="103"/>
      <c r="BG6" s="104">
        <f t="shared" si="0"/>
        <v>0</v>
      </c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6"/>
      <c r="CD6" s="26"/>
      <c r="CE6" s="26"/>
    </row>
    <row r="7" spans="1:83" ht="12" customHeight="1">
      <c r="A7" s="277"/>
      <c r="B7" s="277"/>
      <c r="C7" s="277"/>
      <c r="D7" s="277"/>
      <c r="E7" s="277"/>
      <c r="F7" s="277"/>
      <c r="G7" s="278"/>
      <c r="H7" s="1"/>
      <c r="I7" s="1"/>
      <c r="J7" s="1"/>
      <c r="K7" s="1"/>
      <c r="L7" s="284"/>
      <c r="M7" s="1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4"/>
      <c r="AS7" s="4"/>
      <c r="AT7" s="4"/>
      <c r="AU7" s="4"/>
      <c r="AV7" s="4"/>
      <c r="AW7" s="1090" t="s">
        <v>316</v>
      </c>
      <c r="AX7" s="1091"/>
      <c r="AY7" s="1091"/>
      <c r="AZ7" s="1091"/>
      <c r="BA7" s="1092"/>
      <c r="BB7" s="280"/>
      <c r="BC7" s="280"/>
      <c r="BD7" s="103">
        <v>107</v>
      </c>
      <c r="BE7" s="39">
        <v>178</v>
      </c>
      <c r="BF7" s="103">
        <v>78</v>
      </c>
      <c r="BG7" s="103">
        <f t="shared" si="0"/>
        <v>363</v>
      </c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6"/>
      <c r="CD7" s="26"/>
      <c r="CE7" s="26"/>
    </row>
    <row r="8" spans="1:83" ht="12" customHeight="1">
      <c r="A8" s="277"/>
      <c r="B8" s="277"/>
      <c r="C8" s="277"/>
      <c r="D8" s="277"/>
      <c r="E8" s="277"/>
      <c r="F8" s="277"/>
      <c r="G8" s="278"/>
      <c r="H8" s="60" t="s">
        <v>183</v>
      </c>
      <c r="I8" s="1"/>
      <c r="J8" s="1"/>
      <c r="K8" s="1"/>
      <c r="L8" s="284"/>
      <c r="M8" s="1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4"/>
      <c r="AT8" s="4"/>
      <c r="AU8" s="4"/>
      <c r="AV8" s="4"/>
      <c r="AW8" s="1090" t="s">
        <v>317</v>
      </c>
      <c r="AX8" s="1091"/>
      <c r="AY8" s="1091"/>
      <c r="AZ8" s="1091"/>
      <c r="BA8" s="1092"/>
      <c r="BB8" s="280"/>
      <c r="BC8" s="280"/>
      <c r="BD8" s="103">
        <f>BD9+BD10+BD11+BD12+BD13+BD14+BD15</f>
        <v>0</v>
      </c>
      <c r="BE8" s="103">
        <f>BE9+BE10+BE11+BE12+BE13+BE14+BE15</f>
        <v>5</v>
      </c>
      <c r="BF8" s="103">
        <f>BF9+BF10+BF11+BF12+BF13+BF14+BF15</f>
        <v>0</v>
      </c>
      <c r="BG8" s="103">
        <f>BG9+BG10+BG11+BG12+BG13+BG14+BG15</f>
        <v>5</v>
      </c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6"/>
      <c r="CD8" s="26"/>
      <c r="CE8" s="26"/>
    </row>
    <row r="9" spans="1:83" ht="12" customHeight="1">
      <c r="A9" s="277"/>
      <c r="B9" s="277"/>
      <c r="C9" s="277"/>
      <c r="D9" s="277"/>
      <c r="E9" s="277"/>
      <c r="F9" s="277"/>
      <c r="G9" s="278"/>
      <c r="H9" s="1"/>
      <c r="I9" s="1"/>
      <c r="J9" s="1"/>
      <c r="K9" s="1"/>
      <c r="L9" s="284"/>
      <c r="M9" s="1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4"/>
      <c r="AR9" s="4"/>
      <c r="AS9" s="4"/>
      <c r="AT9" s="4"/>
      <c r="AU9" s="4"/>
      <c r="AV9" s="4"/>
      <c r="AW9" s="1093" t="s">
        <v>33</v>
      </c>
      <c r="AX9" s="1094"/>
      <c r="AY9" s="1094"/>
      <c r="AZ9" s="1094"/>
      <c r="BA9" s="1095"/>
      <c r="BB9" s="280"/>
      <c r="BC9" s="280"/>
      <c r="BD9" s="103"/>
      <c r="BE9" s="104">
        <v>5</v>
      </c>
      <c r="BF9" s="104"/>
      <c r="BG9" s="103">
        <f>SUM(BB9:BF9)</f>
        <v>5</v>
      </c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6"/>
      <c r="CD9" s="26"/>
      <c r="CE9" s="26"/>
    </row>
    <row r="10" spans="1:83" ht="12" hidden="1" customHeight="1">
      <c r="A10" s="277"/>
      <c r="B10" s="277"/>
      <c r="C10" s="277"/>
      <c r="D10" s="277"/>
      <c r="E10" s="277"/>
      <c r="F10" s="277"/>
      <c r="G10" s="278"/>
      <c r="H10" s="277"/>
      <c r="I10" s="277"/>
      <c r="J10" s="277"/>
      <c r="K10" s="277"/>
      <c r="L10" s="279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4"/>
      <c r="AS10" s="4"/>
      <c r="AT10" s="4"/>
      <c r="AU10" s="4"/>
      <c r="AV10" s="4"/>
      <c r="AW10" s="1093" t="s">
        <v>319</v>
      </c>
      <c r="AX10" s="1094"/>
      <c r="AY10" s="1094"/>
      <c r="AZ10" s="1094"/>
      <c r="BA10" s="1095"/>
      <c r="BB10" s="280"/>
      <c r="BC10" s="280"/>
      <c r="BD10" s="103"/>
      <c r="BE10" s="104"/>
      <c r="BF10" s="104"/>
      <c r="BG10" s="104">
        <f>SUM(BB10:BF10)</f>
        <v>0</v>
      </c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6"/>
      <c r="CD10" s="26"/>
      <c r="CE10" s="26"/>
    </row>
    <row r="11" spans="1:83" ht="12" hidden="1" customHeight="1">
      <c r="A11" s="277"/>
      <c r="B11" s="277"/>
      <c r="C11" s="277"/>
      <c r="D11" s="277"/>
      <c r="E11" s="277"/>
      <c r="F11" s="277"/>
      <c r="G11" s="278"/>
      <c r="H11" s="277"/>
      <c r="I11" s="277"/>
      <c r="J11" s="277"/>
      <c r="K11" s="277"/>
      <c r="L11" s="279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/>
      <c r="AR11" s="4"/>
      <c r="AS11" s="4"/>
      <c r="AT11" s="4"/>
      <c r="AU11" s="4"/>
      <c r="AV11" s="4"/>
      <c r="AW11" s="1093" t="s">
        <v>320</v>
      </c>
      <c r="AX11" s="1094"/>
      <c r="AY11" s="1094"/>
      <c r="AZ11" s="1094"/>
      <c r="BA11" s="1095"/>
      <c r="BB11" s="280"/>
      <c r="BC11" s="280"/>
      <c r="BD11" s="103"/>
      <c r="BE11" s="104"/>
      <c r="BF11" s="104"/>
      <c r="BG11" s="104">
        <f>SUM(BB11:BF11)</f>
        <v>0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6"/>
      <c r="CD11" s="26"/>
      <c r="CE11" s="26"/>
    </row>
    <row r="12" spans="1:83" ht="12" hidden="1" customHeight="1">
      <c r="A12" s="277"/>
      <c r="B12" s="277"/>
      <c r="C12" s="277"/>
      <c r="D12" s="277"/>
      <c r="E12" s="277"/>
      <c r="F12" s="277"/>
      <c r="G12" s="278"/>
      <c r="H12" s="277"/>
      <c r="I12" s="277"/>
      <c r="J12" s="277"/>
      <c r="K12" s="277"/>
      <c r="L12" s="279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4"/>
      <c r="AR12" s="4"/>
      <c r="AS12" s="4"/>
      <c r="AT12" s="4"/>
      <c r="AU12" s="4"/>
      <c r="AV12" s="4"/>
      <c r="AW12" s="1093" t="s">
        <v>321</v>
      </c>
      <c r="AX12" s="1094"/>
      <c r="AY12" s="1094"/>
      <c r="AZ12" s="1094"/>
      <c r="BA12" s="1095"/>
      <c r="BB12" s="280"/>
      <c r="BC12" s="280"/>
      <c r="BD12" s="103">
        <v>0</v>
      </c>
      <c r="BE12" s="104"/>
      <c r="BF12" s="104"/>
      <c r="BG12" s="104">
        <f>SUM(BB12:BF12)</f>
        <v>0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6"/>
      <c r="CD12" s="26"/>
      <c r="CE12" s="26"/>
    </row>
    <row r="13" spans="1:83" ht="12" hidden="1" customHeight="1">
      <c r="A13" s="277"/>
      <c r="B13" s="277"/>
      <c r="C13" s="277"/>
      <c r="D13" s="277"/>
      <c r="E13" s="277"/>
      <c r="F13" s="277"/>
      <c r="G13" s="278"/>
      <c r="H13" s="2"/>
      <c r="I13" s="277"/>
      <c r="J13" s="277"/>
      <c r="K13" s="277"/>
      <c r="L13" s="279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"/>
      <c r="AR13" s="4"/>
      <c r="AS13" s="4"/>
      <c r="AT13" s="4"/>
      <c r="AU13" s="4"/>
      <c r="AV13" s="4"/>
      <c r="AW13" s="1093" t="s">
        <v>322</v>
      </c>
      <c r="AX13" s="1094"/>
      <c r="AY13" s="1094"/>
      <c r="AZ13" s="1094"/>
      <c r="BA13" s="1095"/>
      <c r="BB13" s="280"/>
      <c r="BC13" s="280"/>
      <c r="BD13" s="103"/>
      <c r="BE13" s="104"/>
      <c r="BF13" s="104"/>
      <c r="BG13" s="104">
        <f>SUM(BB13:BF13)</f>
        <v>0</v>
      </c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6"/>
      <c r="CD13" s="26"/>
      <c r="CE13" s="26"/>
    </row>
    <row r="14" spans="1:83" ht="8.4499999999999993" hidden="1" customHeight="1">
      <c r="A14" s="277"/>
      <c r="B14" s="277"/>
      <c r="C14" s="277"/>
      <c r="D14" s="277"/>
      <c r="E14" s="277"/>
      <c r="F14" s="277"/>
      <c r="G14" s="278"/>
      <c r="H14" s="277"/>
      <c r="I14" s="277"/>
      <c r="J14" s="277"/>
      <c r="K14" s="277"/>
      <c r="L14" s="279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/>
      <c r="AR14" s="4"/>
      <c r="AS14" s="4"/>
      <c r="AT14" s="4"/>
      <c r="AU14" s="4"/>
      <c r="AV14" s="4"/>
      <c r="AW14" s="4"/>
      <c r="AX14" s="4"/>
      <c r="AY14" s="4"/>
      <c r="AZ14" s="285"/>
      <c r="BA14" s="286"/>
      <c r="BB14" s="286"/>
      <c r="BC14" s="287"/>
      <c r="BD14" s="287"/>
      <c r="BE14" s="288"/>
      <c r="BF14" s="228"/>
      <c r="BG14" s="230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6"/>
      <c r="CD14" s="26"/>
      <c r="CE14" s="26"/>
    </row>
    <row r="15" spans="1:83" ht="8.4499999999999993" hidden="1" customHeight="1">
      <c r="A15" s="277"/>
      <c r="B15" s="277"/>
      <c r="C15" s="277"/>
      <c r="D15" s="277"/>
      <c r="E15" s="277"/>
      <c r="F15" s="277"/>
      <c r="G15" s="278"/>
      <c r="H15" s="277"/>
      <c r="I15" s="277"/>
      <c r="J15" s="277"/>
      <c r="K15" s="277"/>
      <c r="L15" s="279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4"/>
      <c r="AS15" s="4"/>
      <c r="AT15" s="4"/>
      <c r="AU15" s="4"/>
      <c r="AV15" s="4"/>
      <c r="AW15" s="4"/>
      <c r="AX15" s="4"/>
      <c r="AY15" s="4"/>
      <c r="AZ15" s="285"/>
      <c r="BA15" s="286"/>
      <c r="BB15" s="286"/>
      <c r="BC15" s="287"/>
      <c r="BD15" s="287"/>
      <c r="BE15" s="288"/>
      <c r="BF15" s="228"/>
      <c r="BG15" s="230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6"/>
      <c r="CD15" s="26"/>
      <c r="CE15" s="26"/>
    </row>
    <row r="16" spans="1:83" ht="8.25" hidden="1" customHeight="1">
      <c r="A16" s="277"/>
      <c r="B16" s="277"/>
      <c r="C16" s="277"/>
      <c r="D16" s="277"/>
      <c r="E16" s="277"/>
      <c r="F16" s="277"/>
      <c r="G16" s="278"/>
      <c r="H16" s="277"/>
      <c r="I16" s="277"/>
      <c r="J16" s="277"/>
      <c r="K16" s="277"/>
      <c r="L16" s="279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  <c r="AR16" s="4"/>
      <c r="AS16" s="4"/>
      <c r="AT16" s="4"/>
      <c r="AU16" s="4"/>
      <c r="AV16" s="4"/>
      <c r="AW16" s="4"/>
      <c r="AX16" s="4"/>
      <c r="AY16" s="4"/>
      <c r="AZ16" s="285"/>
      <c r="BA16" s="286"/>
      <c r="BB16" s="286"/>
      <c r="BC16" s="287"/>
      <c r="BD16" s="287"/>
      <c r="BE16" s="288"/>
      <c r="BF16" s="228"/>
      <c r="BG16" s="230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26"/>
      <c r="CE16" s="26"/>
    </row>
    <row r="17" spans="1:83" ht="8.4499999999999993" hidden="1" customHeight="1">
      <c r="A17" s="277"/>
      <c r="B17" s="277"/>
      <c r="C17" s="277"/>
      <c r="D17" s="277"/>
      <c r="E17" s="277"/>
      <c r="F17" s="277"/>
      <c r="G17" s="278"/>
      <c r="H17" s="277"/>
      <c r="I17" s="277"/>
      <c r="J17" s="277"/>
      <c r="K17" s="277"/>
      <c r="L17" s="279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4"/>
      <c r="AS17" s="4"/>
      <c r="AT17" s="4"/>
      <c r="AU17" s="4"/>
      <c r="AV17" s="4"/>
      <c r="AW17" s="4"/>
      <c r="AX17" s="4"/>
      <c r="AY17" s="4"/>
      <c r="AZ17" s="285"/>
      <c r="BA17" s="286"/>
      <c r="BB17" s="286"/>
      <c r="BC17" s="287"/>
      <c r="BD17" s="287"/>
      <c r="BE17" s="288"/>
      <c r="BF17" s="228"/>
      <c r="BG17" s="230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6"/>
      <c r="CD17" s="26"/>
      <c r="CE17" s="26"/>
    </row>
    <row r="18" spans="1:83" ht="8.4499999999999993" hidden="1" customHeight="1">
      <c r="A18" s="277"/>
      <c r="B18" s="277"/>
      <c r="C18" s="277"/>
      <c r="D18" s="277"/>
      <c r="E18" s="277"/>
      <c r="F18" s="277"/>
      <c r="G18" s="278"/>
      <c r="H18" s="277"/>
      <c r="I18" s="277"/>
      <c r="J18" s="277"/>
      <c r="K18" s="277"/>
      <c r="L18" s="279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4"/>
      <c r="AS18" s="4"/>
      <c r="AT18" s="4"/>
      <c r="AU18" s="4"/>
      <c r="AV18" s="4"/>
      <c r="AW18" s="4"/>
      <c r="AX18" s="4"/>
      <c r="AY18" s="4"/>
      <c r="AZ18" s="285"/>
      <c r="BA18" s="286"/>
      <c r="BB18" s="286"/>
      <c r="BC18" s="287"/>
      <c r="BD18" s="287"/>
      <c r="BE18" s="288"/>
      <c r="BF18" s="228"/>
      <c r="BG18" s="230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6"/>
      <c r="CD18" s="26"/>
      <c r="CE18" s="26"/>
    </row>
    <row r="19" spans="1:83" ht="13.15" customHeight="1">
      <c r="A19" s="647" t="s">
        <v>265</v>
      </c>
      <c r="B19" s="1052" t="s">
        <v>478</v>
      </c>
      <c r="C19" s="647" t="s">
        <v>153</v>
      </c>
      <c r="D19" s="1083" t="s">
        <v>329</v>
      </c>
      <c r="E19" s="1083" t="s">
        <v>184</v>
      </c>
      <c r="F19" s="1083" t="s">
        <v>268</v>
      </c>
      <c r="G19" s="647"/>
      <c r="H19" s="648" t="s">
        <v>269</v>
      </c>
      <c r="I19" s="647" t="s">
        <v>185</v>
      </c>
      <c r="J19" s="647"/>
      <c r="K19" s="647"/>
      <c r="L19" s="649"/>
      <c r="M19" s="647" t="s">
        <v>271</v>
      </c>
      <c r="N19" s="1085" t="s">
        <v>451</v>
      </c>
      <c r="O19" s="1086"/>
      <c r="P19" s="1100" t="s">
        <v>472</v>
      </c>
      <c r="Q19" s="1101"/>
      <c r="R19" s="1102"/>
      <c r="S19" s="650" t="s">
        <v>332</v>
      </c>
      <c r="T19" s="651"/>
      <c r="U19" s="652"/>
      <c r="V19" s="653"/>
      <c r="W19" s="653"/>
      <c r="X19" s="1069" t="s">
        <v>273</v>
      </c>
      <c r="Y19" s="1072" t="s">
        <v>333</v>
      </c>
      <c r="Z19" s="1073"/>
      <c r="AA19" s="1073"/>
      <c r="AB19" s="1074"/>
      <c r="AC19" s="95"/>
      <c r="AD19" s="95"/>
      <c r="AE19" s="1075" t="s">
        <v>334</v>
      </c>
      <c r="AF19" s="1075"/>
      <c r="AG19" s="1075"/>
      <c r="AH19" s="1075"/>
      <c r="AI19" s="1075"/>
      <c r="AJ19" s="1076"/>
      <c r="AK19" s="1096" t="s">
        <v>516</v>
      </c>
      <c r="AL19" s="1097"/>
      <c r="AM19" s="1097"/>
      <c r="AN19" s="1097"/>
      <c r="AO19" s="1097"/>
      <c r="AP19" s="1097"/>
      <c r="AQ19" s="1064" t="s">
        <v>473</v>
      </c>
      <c r="AR19" s="1064"/>
      <c r="AS19" s="1064"/>
      <c r="AT19" s="1064"/>
      <c r="AU19" s="1064"/>
      <c r="AV19" s="1064"/>
      <c r="AW19" s="1065" t="s">
        <v>336</v>
      </c>
      <c r="AX19" s="1065"/>
      <c r="AY19" s="1065"/>
      <c r="AZ19" s="1065"/>
      <c r="BA19" s="1065"/>
      <c r="BB19" s="1065"/>
      <c r="BC19" s="1056" t="s">
        <v>274</v>
      </c>
      <c r="BD19" s="1059" t="s">
        <v>199</v>
      </c>
      <c r="BE19" s="1059" t="s">
        <v>338</v>
      </c>
      <c r="BF19" s="1051" t="s">
        <v>200</v>
      </c>
      <c r="BG19" s="1051" t="s">
        <v>275</v>
      </c>
      <c r="BH19" s="654"/>
      <c r="BI19" s="291"/>
      <c r="BJ19" s="291"/>
      <c r="BK19" s="291"/>
      <c r="BL19" s="291"/>
      <c r="BM19" s="291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6"/>
      <c r="CD19" s="26"/>
      <c r="CE19" s="26"/>
    </row>
    <row r="20" spans="1:83">
      <c r="A20" s="655" t="s">
        <v>276</v>
      </c>
      <c r="B20" s="1081"/>
      <c r="C20" s="655" t="s">
        <v>339</v>
      </c>
      <c r="D20" s="1084"/>
      <c r="E20" s="1084"/>
      <c r="F20" s="1084"/>
      <c r="G20" s="655" t="s">
        <v>201</v>
      </c>
      <c r="H20" s="656" t="s">
        <v>278</v>
      </c>
      <c r="I20" s="655"/>
      <c r="J20" s="655"/>
      <c r="K20" s="655" t="s">
        <v>398</v>
      </c>
      <c r="L20" s="657" t="s">
        <v>341</v>
      </c>
      <c r="M20" s="655" t="s">
        <v>280</v>
      </c>
      <c r="N20" s="1087"/>
      <c r="O20" s="1088"/>
      <c r="P20" s="1052" t="s">
        <v>342</v>
      </c>
      <c r="Q20" s="1052" t="s">
        <v>343</v>
      </c>
      <c r="R20" s="1052" t="s">
        <v>344</v>
      </c>
      <c r="S20" s="647" t="s">
        <v>342</v>
      </c>
      <c r="T20" s="647" t="s">
        <v>343</v>
      </c>
      <c r="U20" s="647" t="s">
        <v>344</v>
      </c>
      <c r="V20" s="655"/>
      <c r="W20" s="655"/>
      <c r="X20" s="1070"/>
      <c r="Y20" s="96"/>
      <c r="Z20" s="97"/>
      <c r="AA20" s="97"/>
      <c r="AB20" s="98"/>
      <c r="AC20" s="97"/>
      <c r="AD20" s="97"/>
      <c r="AE20" s="1077"/>
      <c r="AF20" s="1077"/>
      <c r="AG20" s="1077"/>
      <c r="AH20" s="1077"/>
      <c r="AI20" s="1077"/>
      <c r="AJ20" s="1078"/>
      <c r="AK20" s="1098"/>
      <c r="AL20" s="1099"/>
      <c r="AM20" s="1099"/>
      <c r="AN20" s="1099"/>
      <c r="AO20" s="1099"/>
      <c r="AP20" s="1099"/>
      <c r="AQ20" s="1064"/>
      <c r="AR20" s="1064"/>
      <c r="AS20" s="1064"/>
      <c r="AT20" s="1064"/>
      <c r="AU20" s="1064"/>
      <c r="AV20" s="1064"/>
      <c r="AW20" s="1065"/>
      <c r="AX20" s="1065"/>
      <c r="AY20" s="1065"/>
      <c r="AZ20" s="1065"/>
      <c r="BA20" s="1065"/>
      <c r="BB20" s="1065"/>
      <c r="BC20" s="1057"/>
      <c r="BD20" s="1060"/>
      <c r="BE20" s="1062"/>
      <c r="BF20" s="1051"/>
      <c r="BG20" s="1051"/>
      <c r="BH20" s="291"/>
      <c r="BI20" s="291"/>
      <c r="BJ20" s="291"/>
      <c r="BK20" s="291"/>
      <c r="BL20" s="291"/>
      <c r="BM20" s="291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6"/>
      <c r="CD20" s="26"/>
      <c r="CE20" s="26"/>
    </row>
    <row r="21" spans="1:83" ht="18" customHeight="1">
      <c r="A21" s="292"/>
      <c r="B21" s="1082"/>
      <c r="C21" s="292"/>
      <c r="D21" s="1084"/>
      <c r="E21" s="1084"/>
      <c r="F21" s="1084"/>
      <c r="G21" s="292"/>
      <c r="H21" s="658" t="s">
        <v>283</v>
      </c>
      <c r="I21" s="292"/>
      <c r="J21" s="292"/>
      <c r="K21" s="292"/>
      <c r="L21" s="659"/>
      <c r="M21" s="292" t="s">
        <v>284</v>
      </c>
      <c r="N21" s="292">
        <v>18</v>
      </c>
      <c r="O21" s="292">
        <v>18</v>
      </c>
      <c r="P21" s="1053"/>
      <c r="Q21" s="1053"/>
      <c r="R21" s="1053"/>
      <c r="S21" s="660"/>
      <c r="T21" s="660"/>
      <c r="U21" s="660"/>
      <c r="V21" s="661"/>
      <c r="W21" s="661"/>
      <c r="X21" s="1070"/>
      <c r="Y21" s="293">
        <v>0.1</v>
      </c>
      <c r="Z21" s="293">
        <v>0.2</v>
      </c>
      <c r="AA21" s="294">
        <v>0.125</v>
      </c>
      <c r="AB21" s="293">
        <v>0.25</v>
      </c>
      <c r="AC21" s="293" t="s">
        <v>434</v>
      </c>
      <c r="AD21" s="293" t="s">
        <v>434</v>
      </c>
      <c r="AE21" s="1054" t="s">
        <v>349</v>
      </c>
      <c r="AF21" s="1055"/>
      <c r="AG21" s="1055" t="s">
        <v>350</v>
      </c>
      <c r="AH21" s="1055"/>
      <c r="AI21" s="1055" t="s">
        <v>344</v>
      </c>
      <c r="AJ21" s="1055"/>
      <c r="AK21" s="1066" t="s">
        <v>349</v>
      </c>
      <c r="AL21" s="1066"/>
      <c r="AM21" s="1066" t="s">
        <v>350</v>
      </c>
      <c r="AN21" s="1066"/>
      <c r="AO21" s="1066" t="s">
        <v>344</v>
      </c>
      <c r="AP21" s="1066"/>
      <c r="AQ21" s="1079" t="s">
        <v>347</v>
      </c>
      <c r="AR21" s="1080"/>
      <c r="AS21" s="1066" t="s">
        <v>350</v>
      </c>
      <c r="AT21" s="1066"/>
      <c r="AU21" s="1066" t="s">
        <v>344</v>
      </c>
      <c r="AV21" s="1066"/>
      <c r="AW21" s="1066" t="s">
        <v>349</v>
      </c>
      <c r="AX21" s="1066"/>
      <c r="AY21" s="1067" t="s">
        <v>350</v>
      </c>
      <c r="AZ21" s="1068"/>
      <c r="BA21" s="1067" t="s">
        <v>344</v>
      </c>
      <c r="BB21" s="1068"/>
      <c r="BC21" s="1057"/>
      <c r="BD21" s="1060"/>
      <c r="BE21" s="1062"/>
      <c r="BF21" s="1051"/>
      <c r="BG21" s="1051"/>
      <c r="BH21" s="291"/>
      <c r="BI21" s="291" t="s">
        <v>326</v>
      </c>
      <c r="BJ21" s="291"/>
      <c r="BK21" s="291"/>
      <c r="BL21" s="291"/>
      <c r="BM21" s="291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6"/>
      <c r="CD21" s="26"/>
      <c r="CE21" s="26"/>
    </row>
    <row r="22" spans="1:83">
      <c r="A22" s="296"/>
      <c r="B22" s="296"/>
      <c r="C22" s="296"/>
      <c r="D22" s="296"/>
      <c r="E22" s="292"/>
      <c r="F22" s="292"/>
      <c r="G22" s="292"/>
      <c r="H22" s="296"/>
      <c r="I22" s="296"/>
      <c r="J22" s="296"/>
      <c r="K22" s="296"/>
      <c r="L22" s="297"/>
      <c r="M22" s="296"/>
      <c r="N22" s="296"/>
      <c r="O22" s="296"/>
      <c r="P22" s="296"/>
      <c r="Q22" s="296"/>
      <c r="R22" s="296"/>
      <c r="S22" s="296"/>
      <c r="T22" s="296"/>
      <c r="U22" s="296"/>
      <c r="V22" s="292"/>
      <c r="W22" s="292"/>
      <c r="X22" s="1071"/>
      <c r="Y22" s="293"/>
      <c r="Z22" s="293"/>
      <c r="AA22" s="294"/>
      <c r="AB22" s="293"/>
      <c r="AC22" s="100">
        <v>0.15</v>
      </c>
      <c r="AD22" s="100">
        <v>0.3</v>
      </c>
      <c r="AE22" s="662">
        <v>0.5</v>
      </c>
      <c r="AF22" s="663">
        <v>1</v>
      </c>
      <c r="AG22" s="663">
        <v>0.5</v>
      </c>
      <c r="AH22" s="663">
        <v>1</v>
      </c>
      <c r="AI22" s="663">
        <v>0.5</v>
      </c>
      <c r="AJ22" s="663">
        <v>1</v>
      </c>
      <c r="AK22" s="663">
        <v>0.5</v>
      </c>
      <c r="AL22" s="663">
        <v>1</v>
      </c>
      <c r="AM22" s="663">
        <v>0.5</v>
      </c>
      <c r="AN22" s="663">
        <v>1</v>
      </c>
      <c r="AO22" s="663">
        <v>0.5</v>
      </c>
      <c r="AP22" s="663">
        <v>1</v>
      </c>
      <c r="AQ22" s="664" t="s">
        <v>351</v>
      </c>
      <c r="AR22" s="664" t="s">
        <v>352</v>
      </c>
      <c r="AS22" s="664" t="s">
        <v>351</v>
      </c>
      <c r="AT22" s="664" t="s">
        <v>352</v>
      </c>
      <c r="AU22" s="664" t="s">
        <v>351</v>
      </c>
      <c r="AV22" s="664" t="s">
        <v>352</v>
      </c>
      <c r="AW22" s="663">
        <v>0.5</v>
      </c>
      <c r="AX22" s="663">
        <v>1</v>
      </c>
      <c r="AY22" s="663">
        <v>0.5</v>
      </c>
      <c r="AZ22" s="663">
        <v>1</v>
      </c>
      <c r="BA22" s="663">
        <v>0.5</v>
      </c>
      <c r="BB22" s="665">
        <v>1</v>
      </c>
      <c r="BC22" s="1057"/>
      <c r="BD22" s="1061"/>
      <c r="BE22" s="1063"/>
      <c r="BF22" s="289" t="s">
        <v>352</v>
      </c>
      <c r="BG22" s="1051"/>
      <c r="BH22" s="291"/>
      <c r="BI22" s="291"/>
      <c r="BJ22" s="291"/>
      <c r="BK22" s="291"/>
      <c r="BL22" s="291"/>
      <c r="BM22" s="291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6"/>
      <c r="CD22" s="26"/>
      <c r="CE22" s="26"/>
    </row>
    <row r="23" spans="1:83" ht="12.75" hidden="1" customHeight="1">
      <c r="A23" s="296"/>
      <c r="B23" s="296"/>
      <c r="C23" s="296"/>
      <c r="D23" s="296"/>
      <c r="E23" s="292"/>
      <c r="F23" s="292"/>
      <c r="G23" s="292"/>
      <c r="H23" s="296"/>
      <c r="I23" s="296"/>
      <c r="J23" s="296"/>
      <c r="K23" s="296"/>
      <c r="L23" s="297"/>
      <c r="M23" s="296"/>
      <c r="N23" s="296"/>
      <c r="O23" s="296"/>
      <c r="P23" s="296"/>
      <c r="Q23" s="296"/>
      <c r="R23" s="296"/>
      <c r="S23" s="296"/>
      <c r="T23" s="296"/>
      <c r="U23" s="296"/>
      <c r="V23" s="292"/>
      <c r="W23" s="292"/>
      <c r="X23" s="99"/>
      <c r="Y23" s="293"/>
      <c r="Z23" s="293"/>
      <c r="AA23" s="294"/>
      <c r="AB23" s="293"/>
      <c r="AC23" s="100">
        <v>0.15</v>
      </c>
      <c r="AD23" s="100">
        <v>0.3</v>
      </c>
      <c r="AE23" s="298"/>
      <c r="AF23" s="299"/>
      <c r="AG23" s="299"/>
      <c r="AH23" s="101"/>
      <c r="AI23" s="101"/>
      <c r="AJ23" s="300"/>
      <c r="AK23" s="301"/>
      <c r="AL23" s="301"/>
      <c r="AM23" s="109"/>
      <c r="AN23" s="109"/>
      <c r="AO23" s="301"/>
      <c r="AP23" s="301"/>
      <c r="AQ23" s="301"/>
      <c r="AR23" s="301"/>
      <c r="AS23" s="301"/>
      <c r="AT23" s="301"/>
      <c r="AU23" s="301"/>
      <c r="AV23" s="301"/>
      <c r="AW23" s="301"/>
      <c r="AX23" s="302"/>
      <c r="AY23" s="301"/>
      <c r="AZ23" s="109"/>
      <c r="BA23" s="109"/>
      <c r="BB23" s="303"/>
      <c r="BC23" s="1058"/>
      <c r="BD23" s="295"/>
      <c r="BE23" s="295"/>
      <c r="BF23" s="289"/>
      <c r="BG23" s="290"/>
      <c r="BH23" s="291"/>
      <c r="BI23" s="291"/>
      <c r="BJ23" s="291"/>
      <c r="BK23" s="291"/>
      <c r="BL23" s="291"/>
      <c r="BM23" s="291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6"/>
      <c r="CD23" s="26"/>
      <c r="CE23" s="26"/>
    </row>
    <row r="24" spans="1:83" s="6" customFormat="1" ht="11.25" hidden="1" customHeight="1">
      <c r="A24" s="3"/>
      <c r="C24" s="3"/>
      <c r="G24" s="3"/>
      <c r="I24" s="3"/>
      <c r="L24" s="304"/>
      <c r="N24" s="104"/>
      <c r="O24" s="104"/>
      <c r="P24" s="3"/>
      <c r="Q24" s="106"/>
      <c r="R24" s="228"/>
      <c r="S24" s="227"/>
      <c r="T24" s="305"/>
      <c r="U24" s="227"/>
      <c r="V24" s="306"/>
      <c r="W24" s="24"/>
      <c r="X24" s="307"/>
      <c r="Y24" s="293"/>
      <c r="Z24" s="293"/>
      <c r="AA24" s="294"/>
      <c r="AB24" s="293"/>
      <c r="AC24" s="100"/>
      <c r="AD24" s="100"/>
      <c r="AE24" s="107"/>
      <c r="AF24" s="108"/>
      <c r="AG24" s="101"/>
      <c r="AH24" s="101"/>
      <c r="AI24" s="101"/>
      <c r="AJ24" s="101"/>
      <c r="AK24" s="308"/>
      <c r="AL24" s="301"/>
      <c r="AM24" s="109"/>
      <c r="AN24" s="109"/>
      <c r="AO24" s="308"/>
      <c r="AP24" s="301"/>
      <c r="AQ24" s="301"/>
      <c r="AR24" s="301"/>
      <c r="AS24" s="301"/>
      <c r="AT24" s="109"/>
      <c r="AU24" s="109"/>
      <c r="AV24" s="109"/>
      <c r="AW24" s="109"/>
      <c r="AX24" s="308"/>
      <c r="AY24" s="301"/>
      <c r="AZ24" s="308"/>
      <c r="BA24" s="301"/>
      <c r="BB24" s="303"/>
      <c r="BC24" s="309"/>
      <c r="BD24" s="295"/>
      <c r="BE24" s="295"/>
      <c r="BF24" s="289"/>
      <c r="BG24" s="290"/>
      <c r="BH24" s="310"/>
      <c r="BI24" s="310"/>
      <c r="BJ24" s="310"/>
      <c r="BK24" s="310"/>
      <c r="BL24" s="310"/>
      <c r="BM24" s="310"/>
    </row>
    <row r="25" spans="1:83" s="6" customFormat="1" ht="11.25" hidden="1" customHeight="1">
      <c r="A25" s="3"/>
      <c r="C25" s="3"/>
      <c r="G25" s="3"/>
      <c r="I25" s="3"/>
      <c r="L25" s="304"/>
      <c r="N25" s="229"/>
      <c r="O25" s="4"/>
      <c r="P25" s="3"/>
      <c r="Q25" s="106"/>
      <c r="R25" s="228"/>
      <c r="S25" s="227"/>
      <c r="T25" s="305"/>
      <c r="U25" s="227"/>
      <c r="V25" s="306"/>
      <c r="W25" s="24"/>
      <c r="X25" s="307"/>
      <c r="Y25" s="293"/>
      <c r="Z25" s="293"/>
      <c r="AA25" s="294"/>
      <c r="AB25" s="293"/>
      <c r="AC25" s="100"/>
      <c r="AD25" s="100"/>
      <c r="AE25" s="107"/>
      <c r="AF25" s="108"/>
      <c r="AG25" s="101"/>
      <c r="AH25" s="101"/>
      <c r="AI25" s="101"/>
      <c r="AJ25" s="101"/>
      <c r="AK25" s="308"/>
      <c r="AL25" s="301"/>
      <c r="AM25" s="109"/>
      <c r="AN25" s="109"/>
      <c r="AO25" s="308"/>
      <c r="AP25" s="301"/>
      <c r="AQ25" s="301"/>
      <c r="AR25" s="301"/>
      <c r="AS25" s="301"/>
      <c r="AT25" s="109"/>
      <c r="AU25" s="109"/>
      <c r="AV25" s="109"/>
      <c r="AW25" s="109"/>
      <c r="AX25" s="308"/>
      <c r="AY25" s="301"/>
      <c r="AZ25" s="308"/>
      <c r="BA25" s="301"/>
      <c r="BB25" s="303"/>
      <c r="BC25" s="309"/>
      <c r="BD25" s="295"/>
      <c r="BE25" s="311"/>
      <c r="BF25" s="312"/>
      <c r="BG25" s="290"/>
      <c r="BH25" s="310"/>
      <c r="BI25" s="310"/>
      <c r="BJ25" s="310"/>
      <c r="BK25" s="310"/>
      <c r="BL25" s="310"/>
      <c r="BM25" s="310"/>
    </row>
    <row r="26" spans="1:83" s="80" customFormat="1" ht="12" customHeight="1">
      <c r="A26" s="115">
        <v>1</v>
      </c>
      <c r="B26" s="16" t="s">
        <v>202</v>
      </c>
      <c r="C26" s="16" t="s">
        <v>1</v>
      </c>
      <c r="D26" s="16" t="s">
        <v>403</v>
      </c>
      <c r="E26" s="16" t="s">
        <v>203</v>
      </c>
      <c r="F26" s="16">
        <v>83610</v>
      </c>
      <c r="G26" s="17">
        <v>9</v>
      </c>
      <c r="H26" s="16" t="s">
        <v>221</v>
      </c>
      <c r="I26" s="16" t="s">
        <v>401</v>
      </c>
      <c r="J26" s="51">
        <f>(P26+Q26+R26)/N26</f>
        <v>0.5</v>
      </c>
      <c r="K26" s="16">
        <v>17697</v>
      </c>
      <c r="L26" s="44">
        <v>1</v>
      </c>
      <c r="M26" s="16">
        <v>50967</v>
      </c>
      <c r="N26" s="16">
        <v>18</v>
      </c>
      <c r="O26" s="16">
        <v>18</v>
      </c>
      <c r="P26" s="16"/>
      <c r="Q26" s="16">
        <v>5</v>
      </c>
      <c r="R26" s="16">
        <v>4</v>
      </c>
      <c r="S26" s="50"/>
      <c r="T26" s="18"/>
      <c r="U26" s="18"/>
      <c r="V26" s="18"/>
      <c r="W26" s="18"/>
      <c r="X26" s="18"/>
      <c r="Y26" s="45">
        <v>0.1</v>
      </c>
      <c r="Z26" s="45">
        <v>0.2</v>
      </c>
      <c r="AA26" s="319">
        <v>0.125</v>
      </c>
      <c r="AB26" s="45">
        <v>0.25</v>
      </c>
      <c r="AC26" s="47">
        <v>0.15</v>
      </c>
      <c r="AD26" s="47">
        <v>0.3</v>
      </c>
      <c r="AE26" s="16"/>
      <c r="AF26" s="18"/>
      <c r="AG26" s="16"/>
      <c r="AH26" s="18"/>
      <c r="AI26" s="18">
        <v>4</v>
      </c>
      <c r="AJ26" s="18"/>
      <c r="AK26" s="50"/>
      <c r="AL26" s="50"/>
      <c r="AM26" s="48"/>
      <c r="AN26" s="48"/>
      <c r="AO26" s="48"/>
      <c r="AP26" s="48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18"/>
      <c r="BD26" s="50"/>
      <c r="BE26" s="50"/>
      <c r="BF26" s="666"/>
      <c r="BG26" s="488"/>
      <c r="BH26" s="667"/>
      <c r="BI26" s="16" t="s">
        <v>401</v>
      </c>
      <c r="BJ26" s="51">
        <v>0.4</v>
      </c>
      <c r="BK26" s="668"/>
      <c r="BL26" s="668"/>
      <c r="BM26" s="668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</row>
    <row r="27" spans="1:83" s="80" customFormat="1" ht="12" customHeight="1">
      <c r="A27" s="115">
        <v>2</v>
      </c>
      <c r="B27" s="16" t="s">
        <v>263</v>
      </c>
      <c r="C27" s="16" t="s">
        <v>358</v>
      </c>
      <c r="D27" s="16" t="s">
        <v>403</v>
      </c>
      <c r="E27" s="16"/>
      <c r="F27" s="16"/>
      <c r="G27" s="17">
        <v>9</v>
      </c>
      <c r="H27" s="16" t="s">
        <v>93</v>
      </c>
      <c r="I27" s="16" t="s">
        <v>401</v>
      </c>
      <c r="J27" s="51">
        <f t="shared" ref="J27:J44" si="1">(P27+Q27+R27)/N27</f>
        <v>0.5</v>
      </c>
      <c r="K27" s="16">
        <v>17697</v>
      </c>
      <c r="L27" s="44">
        <v>1</v>
      </c>
      <c r="M27" s="16">
        <v>50967</v>
      </c>
      <c r="N27" s="16">
        <v>18</v>
      </c>
      <c r="O27" s="16">
        <v>18</v>
      </c>
      <c r="P27" s="16"/>
      <c r="Q27" s="16">
        <v>9</v>
      </c>
      <c r="R27" s="16"/>
      <c r="S27" s="50"/>
      <c r="T27" s="18"/>
      <c r="U27" s="18"/>
      <c r="V27" s="18"/>
      <c r="W27" s="18"/>
      <c r="X27" s="18"/>
      <c r="Y27" s="45"/>
      <c r="Z27" s="45">
        <v>0.2</v>
      </c>
      <c r="AA27" s="319">
        <v>0.125</v>
      </c>
      <c r="AB27" s="45">
        <v>0.25</v>
      </c>
      <c r="AC27" s="47">
        <v>0.15</v>
      </c>
      <c r="AD27" s="47">
        <v>0.3</v>
      </c>
      <c r="AE27" s="16"/>
      <c r="AF27" s="18"/>
      <c r="AG27" s="16">
        <v>9</v>
      </c>
      <c r="AH27" s="18"/>
      <c r="AI27" s="18"/>
      <c r="AJ27" s="18"/>
      <c r="AK27" s="50"/>
      <c r="AL27" s="50"/>
      <c r="AM27" s="49"/>
      <c r="AN27" s="48"/>
      <c r="AO27" s="48"/>
      <c r="AP27" s="48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18"/>
      <c r="BD27" s="50"/>
      <c r="BE27" s="50"/>
      <c r="BF27" s="666"/>
      <c r="BG27" s="488"/>
      <c r="BH27" s="667"/>
      <c r="BI27" s="16" t="s">
        <v>401</v>
      </c>
      <c r="BJ27" s="51">
        <v>0.4</v>
      </c>
      <c r="BK27" s="668"/>
      <c r="BL27" s="668"/>
      <c r="BM27" s="668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1:83" s="80" customFormat="1" ht="12" customHeight="1">
      <c r="A28" s="115">
        <v>3</v>
      </c>
      <c r="B28" s="16" t="s">
        <v>204</v>
      </c>
      <c r="C28" s="16" t="s">
        <v>394</v>
      </c>
      <c r="D28" s="16" t="s">
        <v>403</v>
      </c>
      <c r="E28" s="16" t="s">
        <v>2</v>
      </c>
      <c r="F28" s="16"/>
      <c r="G28" s="17">
        <v>9</v>
      </c>
      <c r="H28" s="16" t="s">
        <v>512</v>
      </c>
      <c r="I28" s="16" t="s">
        <v>374</v>
      </c>
      <c r="J28" s="51">
        <f t="shared" si="1"/>
        <v>0.5</v>
      </c>
      <c r="K28" s="16">
        <v>17697</v>
      </c>
      <c r="L28" s="44">
        <v>0.5</v>
      </c>
      <c r="M28" s="16">
        <v>48313</v>
      </c>
      <c r="N28" s="16">
        <v>18</v>
      </c>
      <c r="O28" s="16">
        <v>18</v>
      </c>
      <c r="P28" s="16"/>
      <c r="Q28" s="16">
        <v>9</v>
      </c>
      <c r="R28" s="16">
        <v>0</v>
      </c>
      <c r="S28" s="50"/>
      <c r="T28" s="18"/>
      <c r="U28" s="18"/>
      <c r="V28" s="18"/>
      <c r="W28" s="18"/>
      <c r="X28" s="18"/>
      <c r="Y28" s="45">
        <v>0.1</v>
      </c>
      <c r="Z28" s="45">
        <v>0.2</v>
      </c>
      <c r="AA28" s="319">
        <v>0.125</v>
      </c>
      <c r="AB28" s="45">
        <v>0.25</v>
      </c>
      <c r="AC28" s="47">
        <v>0.15</v>
      </c>
      <c r="AD28" s="47">
        <v>0.3</v>
      </c>
      <c r="AE28" s="16"/>
      <c r="AF28" s="18"/>
      <c r="AG28" s="16">
        <v>6</v>
      </c>
      <c r="AH28" s="18"/>
      <c r="AI28" s="18"/>
      <c r="AJ28" s="18"/>
      <c r="AK28" s="50"/>
      <c r="AL28" s="50"/>
      <c r="AM28" s="49"/>
      <c r="AN28" s="48"/>
      <c r="AO28" s="49"/>
      <c r="AP28" s="48"/>
      <c r="AQ28" s="50"/>
      <c r="AR28" s="50"/>
      <c r="AS28" s="50"/>
      <c r="AT28" s="50"/>
      <c r="AU28" s="50"/>
      <c r="AV28" s="50"/>
      <c r="AW28" s="50"/>
      <c r="AX28" s="50"/>
      <c r="AY28" s="48"/>
      <c r="AZ28" s="48"/>
      <c r="BA28" s="50"/>
      <c r="BB28" s="50"/>
      <c r="BC28" s="18"/>
      <c r="BD28" s="50"/>
      <c r="BE28" s="669"/>
      <c r="BF28" s="666"/>
      <c r="BG28" s="488"/>
      <c r="BH28" s="667"/>
      <c r="BI28" s="16" t="s">
        <v>300</v>
      </c>
      <c r="BJ28" s="51">
        <v>0.2</v>
      </c>
      <c r="BK28" s="670"/>
      <c r="BL28" s="670"/>
      <c r="BM28" s="670"/>
      <c r="BN28" s="561"/>
      <c r="BO28" s="313"/>
      <c r="BP28" s="561"/>
      <c r="BQ28" s="561"/>
      <c r="BR28" s="561"/>
      <c r="BS28" s="81"/>
      <c r="BT28" s="81"/>
      <c r="BU28" s="81"/>
      <c r="BV28" s="81"/>
      <c r="BW28" s="81"/>
      <c r="BX28" s="81"/>
      <c r="BY28" s="81"/>
      <c r="BZ28" s="81"/>
      <c r="CA28" s="81"/>
      <c r="CB28" s="81"/>
    </row>
    <row r="29" spans="1:83" s="80" customFormat="1" ht="12" customHeight="1">
      <c r="A29" s="115">
        <v>4</v>
      </c>
      <c r="B29" s="324" t="s">
        <v>517</v>
      </c>
      <c r="C29" s="16" t="s">
        <v>450</v>
      </c>
      <c r="D29" s="16" t="s">
        <v>403</v>
      </c>
      <c r="E29" s="16" t="s">
        <v>453</v>
      </c>
      <c r="F29" s="16">
        <v>268991</v>
      </c>
      <c r="G29" s="17">
        <v>9</v>
      </c>
      <c r="H29" s="16" t="s">
        <v>518</v>
      </c>
      <c r="I29" s="16" t="s">
        <v>355</v>
      </c>
      <c r="J29" s="51">
        <f t="shared" si="1"/>
        <v>0.63888888888888884</v>
      </c>
      <c r="K29" s="16">
        <v>17697</v>
      </c>
      <c r="L29" s="44">
        <v>0.5</v>
      </c>
      <c r="M29" s="16">
        <v>42473</v>
      </c>
      <c r="N29" s="16">
        <v>18</v>
      </c>
      <c r="O29" s="16">
        <v>18</v>
      </c>
      <c r="P29" s="16"/>
      <c r="Q29" s="16">
        <v>9.5</v>
      </c>
      <c r="R29" s="16">
        <v>2</v>
      </c>
      <c r="S29" s="50"/>
      <c r="T29" s="18"/>
      <c r="U29" s="18"/>
      <c r="V29" s="18"/>
      <c r="W29" s="18"/>
      <c r="X29" s="18"/>
      <c r="Y29" s="45">
        <v>0.1</v>
      </c>
      <c r="Z29" s="45">
        <v>0.2</v>
      </c>
      <c r="AA29" s="319">
        <v>0.125</v>
      </c>
      <c r="AB29" s="45">
        <v>0.25</v>
      </c>
      <c r="AC29" s="47">
        <v>0.15</v>
      </c>
      <c r="AD29" s="47">
        <v>0.3</v>
      </c>
      <c r="AE29" s="16"/>
      <c r="AF29" s="18"/>
      <c r="AG29" s="16"/>
      <c r="AH29" s="18"/>
      <c r="AI29" s="18"/>
      <c r="AJ29" s="18"/>
      <c r="AK29" s="50"/>
      <c r="AL29" s="50"/>
      <c r="AM29" s="48"/>
      <c r="AN29" s="50"/>
      <c r="AO29" s="48"/>
      <c r="AP29" s="50"/>
      <c r="AQ29" s="50"/>
      <c r="AR29" s="50"/>
      <c r="AS29" s="50"/>
      <c r="AT29" s="50"/>
      <c r="AU29" s="50"/>
      <c r="AV29" s="50"/>
      <c r="AW29" s="50"/>
      <c r="AX29" s="50"/>
      <c r="AY29" s="50" t="s">
        <v>519</v>
      </c>
      <c r="AZ29" s="50"/>
      <c r="BA29" s="50"/>
      <c r="BB29" s="50"/>
      <c r="BC29" s="18"/>
      <c r="BD29" s="50"/>
      <c r="BE29" s="669" t="s">
        <v>519</v>
      </c>
      <c r="BF29" s="666"/>
      <c r="BG29" s="488"/>
      <c r="BH29" s="667"/>
      <c r="BI29" s="16" t="s">
        <v>374</v>
      </c>
      <c r="BJ29" s="51">
        <v>0.4</v>
      </c>
      <c r="BK29" s="670"/>
      <c r="BL29" s="670"/>
      <c r="BM29" s="670"/>
      <c r="BN29" s="561"/>
      <c r="BO29" s="313"/>
      <c r="BP29" s="561"/>
      <c r="BQ29" s="561"/>
      <c r="BR29" s="56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3" s="80" customFormat="1" ht="12" customHeight="1">
      <c r="A30" s="115">
        <v>5</v>
      </c>
      <c r="B30" s="16" t="s">
        <v>205</v>
      </c>
      <c r="C30" s="16" t="s">
        <v>372</v>
      </c>
      <c r="D30" s="16" t="s">
        <v>403</v>
      </c>
      <c r="E30" s="16" t="s">
        <v>453</v>
      </c>
      <c r="F30" s="16">
        <v>289139</v>
      </c>
      <c r="G30" s="17">
        <v>9</v>
      </c>
      <c r="H30" s="16" t="s">
        <v>244</v>
      </c>
      <c r="I30" s="16" t="s">
        <v>374</v>
      </c>
      <c r="J30" s="51">
        <f t="shared" si="1"/>
        <v>1.1111111111111112</v>
      </c>
      <c r="K30" s="16">
        <v>17697</v>
      </c>
      <c r="L30" s="44">
        <v>0.5</v>
      </c>
      <c r="M30" s="16">
        <v>48313</v>
      </c>
      <c r="N30" s="16">
        <v>18</v>
      </c>
      <c r="O30" s="16">
        <v>18</v>
      </c>
      <c r="P30" s="16"/>
      <c r="Q30" s="16">
        <v>4</v>
      </c>
      <c r="R30" s="18">
        <v>16</v>
      </c>
      <c r="S30" s="50"/>
      <c r="T30" s="18"/>
      <c r="U30" s="18"/>
      <c r="V30" s="18"/>
      <c r="W30" s="18"/>
      <c r="X30" s="18"/>
      <c r="Y30" s="45">
        <v>0.1</v>
      </c>
      <c r="Z30" s="45">
        <v>0.2</v>
      </c>
      <c r="AA30" s="319">
        <v>0.125</v>
      </c>
      <c r="AB30" s="45">
        <v>0.25</v>
      </c>
      <c r="AC30" s="47">
        <v>0.15</v>
      </c>
      <c r="AD30" s="47">
        <v>0.3</v>
      </c>
      <c r="AE30" s="16"/>
      <c r="AF30" s="18"/>
      <c r="AG30" s="16"/>
      <c r="AH30" s="18"/>
      <c r="AI30" s="18"/>
      <c r="AJ30" s="18"/>
      <c r="AK30" s="50"/>
      <c r="AL30" s="50"/>
      <c r="AM30" s="48"/>
      <c r="AN30" s="48"/>
      <c r="AO30" s="48"/>
      <c r="AP30" s="48"/>
      <c r="AQ30" s="50"/>
      <c r="AR30" s="50"/>
      <c r="AS30" s="50"/>
      <c r="AT30" s="50"/>
      <c r="AU30" s="50"/>
      <c r="AV30" s="50"/>
      <c r="AW30" s="50"/>
      <c r="AX30" s="50"/>
      <c r="AY30" s="50"/>
      <c r="AZ30" s="48"/>
      <c r="BA30" s="18"/>
      <c r="BB30" s="50"/>
      <c r="BC30" s="18"/>
      <c r="BD30" s="50"/>
      <c r="BE30" s="537"/>
      <c r="BF30" s="666"/>
      <c r="BG30" s="488"/>
      <c r="BH30" s="667"/>
      <c r="BI30" s="16" t="s">
        <v>374</v>
      </c>
      <c r="BJ30" s="51">
        <v>1.1000000000000001</v>
      </c>
      <c r="BK30" s="670"/>
      <c r="BL30" s="670"/>
      <c r="BM30" s="670"/>
      <c r="BN30" s="561"/>
      <c r="BO30" s="313"/>
      <c r="BP30" s="637"/>
      <c r="BQ30" s="561"/>
      <c r="BR30" s="561"/>
      <c r="BS30" s="81"/>
      <c r="BT30" s="81"/>
      <c r="BU30" s="81"/>
      <c r="BV30" s="81"/>
      <c r="BW30" s="81"/>
      <c r="BX30" s="81"/>
      <c r="BY30" s="81"/>
      <c r="BZ30" s="81"/>
      <c r="CA30" s="81"/>
      <c r="CB30" s="81"/>
    </row>
    <row r="31" spans="1:83" s="80" customFormat="1" ht="12" customHeight="1">
      <c r="A31" s="115">
        <v>6</v>
      </c>
      <c r="B31" s="16" t="s">
        <v>206</v>
      </c>
      <c r="C31" s="16" t="s">
        <v>372</v>
      </c>
      <c r="D31" s="16" t="s">
        <v>403</v>
      </c>
      <c r="E31" s="16" t="s">
        <v>207</v>
      </c>
      <c r="F31" s="16">
        <v>284934</v>
      </c>
      <c r="G31" s="17">
        <v>9</v>
      </c>
      <c r="H31" s="16" t="s">
        <v>417</v>
      </c>
      <c r="I31" s="16" t="s">
        <v>300</v>
      </c>
      <c r="J31" s="51">
        <f t="shared" si="1"/>
        <v>0.97222222222222221</v>
      </c>
      <c r="K31" s="16">
        <v>17697</v>
      </c>
      <c r="L31" s="44">
        <v>0.3</v>
      </c>
      <c r="M31" s="16">
        <v>47428</v>
      </c>
      <c r="N31" s="16">
        <v>18</v>
      </c>
      <c r="O31" s="16">
        <v>18</v>
      </c>
      <c r="P31" s="16"/>
      <c r="Q31" s="16">
        <v>17.5</v>
      </c>
      <c r="R31" s="16"/>
      <c r="S31" s="50"/>
      <c r="T31" s="18"/>
      <c r="U31" s="18"/>
      <c r="V31" s="18"/>
      <c r="W31" s="18"/>
      <c r="X31" s="18"/>
      <c r="Y31" s="45">
        <v>0.1</v>
      </c>
      <c r="Z31" s="45">
        <v>0.2</v>
      </c>
      <c r="AA31" s="319">
        <v>0.125</v>
      </c>
      <c r="AB31" s="45">
        <v>0.25</v>
      </c>
      <c r="AC31" s="47">
        <v>0.15</v>
      </c>
      <c r="AD31" s="47">
        <v>0.3</v>
      </c>
      <c r="AE31" s="16"/>
      <c r="AF31" s="18"/>
      <c r="AG31" s="16"/>
      <c r="AH31" s="18"/>
      <c r="AI31" s="18"/>
      <c r="AJ31" s="18"/>
      <c r="AK31" s="50"/>
      <c r="AL31" s="50"/>
      <c r="AM31" s="48"/>
      <c r="AN31" s="50"/>
      <c r="AO31" s="48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48"/>
      <c r="BA31" s="50"/>
      <c r="BB31" s="50"/>
      <c r="BC31" s="18"/>
      <c r="BD31" s="50"/>
      <c r="BE31" s="537" t="s">
        <v>519</v>
      </c>
      <c r="BF31" s="666"/>
      <c r="BG31" s="488"/>
      <c r="BH31" s="667"/>
      <c r="BI31" s="16" t="s">
        <v>300</v>
      </c>
      <c r="BJ31" s="51">
        <v>1</v>
      </c>
      <c r="BK31" s="670"/>
      <c r="BL31" s="670"/>
      <c r="BM31" s="670"/>
      <c r="BN31" s="561"/>
      <c r="BO31" s="313"/>
      <c r="BP31" s="561"/>
      <c r="BQ31" s="561"/>
      <c r="BR31" s="56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1:83" s="80" customFormat="1" ht="12" customHeight="1">
      <c r="A32" s="115">
        <v>7</v>
      </c>
      <c r="B32" s="16" t="s">
        <v>208</v>
      </c>
      <c r="C32" s="16" t="s">
        <v>1</v>
      </c>
      <c r="D32" s="16" t="s">
        <v>403</v>
      </c>
      <c r="E32" s="16" t="s">
        <v>209</v>
      </c>
      <c r="F32" s="16"/>
      <c r="G32" s="17">
        <v>9</v>
      </c>
      <c r="H32" s="16" t="s">
        <v>520</v>
      </c>
      <c r="I32" s="16" t="s">
        <v>300</v>
      </c>
      <c r="J32" s="51">
        <f t="shared" si="1"/>
        <v>0.94444444444444442</v>
      </c>
      <c r="K32" s="16">
        <v>17697</v>
      </c>
      <c r="L32" s="44"/>
      <c r="M32" s="16"/>
      <c r="N32" s="16">
        <v>18</v>
      </c>
      <c r="O32" s="16">
        <v>18</v>
      </c>
      <c r="P32" s="16"/>
      <c r="Q32" s="16">
        <v>11</v>
      </c>
      <c r="R32" s="16">
        <v>6</v>
      </c>
      <c r="S32" s="50"/>
      <c r="T32" s="18"/>
      <c r="U32" s="18"/>
      <c r="V32" s="18"/>
      <c r="W32" s="18"/>
      <c r="X32" s="18"/>
      <c r="Y32" s="45">
        <v>0.1</v>
      </c>
      <c r="Z32" s="45">
        <v>0.2</v>
      </c>
      <c r="AA32" s="319">
        <v>0.125</v>
      </c>
      <c r="AB32" s="45">
        <v>0.25</v>
      </c>
      <c r="AC32" s="47">
        <v>0.15</v>
      </c>
      <c r="AD32" s="47">
        <v>0.3</v>
      </c>
      <c r="AE32" s="16"/>
      <c r="AF32" s="18"/>
      <c r="AG32" s="16">
        <v>12</v>
      </c>
      <c r="AH32" s="18"/>
      <c r="AI32" s="18">
        <v>5</v>
      </c>
      <c r="AJ32" s="18"/>
      <c r="AK32" s="50"/>
      <c r="AL32" s="50"/>
      <c r="AM32" s="49"/>
      <c r="AN32" s="48"/>
      <c r="AO32" s="48"/>
      <c r="AP32" s="48"/>
      <c r="AQ32" s="50"/>
      <c r="AR32" s="50"/>
      <c r="AS32" s="50"/>
      <c r="AT32" s="50"/>
      <c r="AU32" s="50"/>
      <c r="AV32" s="50"/>
      <c r="AW32" s="50"/>
      <c r="AX32" s="50"/>
      <c r="AY32" s="49"/>
      <c r="AZ32" s="48" t="s">
        <v>519</v>
      </c>
      <c r="BA32" s="50"/>
      <c r="BB32" s="48"/>
      <c r="BC32" s="18"/>
      <c r="BD32" s="50"/>
      <c r="BE32" s="537"/>
      <c r="BF32" s="666"/>
      <c r="BG32" s="488"/>
      <c r="BH32" s="667"/>
      <c r="BI32" s="16" t="s">
        <v>355</v>
      </c>
      <c r="BJ32" s="51">
        <v>0.9</v>
      </c>
      <c r="BK32" s="670"/>
      <c r="BL32" s="670"/>
      <c r="BM32" s="670"/>
      <c r="BN32" s="561"/>
      <c r="BO32" s="313"/>
      <c r="BP32" s="561"/>
      <c r="BQ32" s="561"/>
      <c r="BR32" s="561"/>
      <c r="BS32" s="81"/>
      <c r="BT32" s="81"/>
      <c r="BU32" s="81"/>
      <c r="BV32" s="81"/>
      <c r="BW32" s="81"/>
      <c r="BX32" s="81"/>
      <c r="BY32" s="81"/>
      <c r="BZ32" s="81"/>
      <c r="CA32" s="81"/>
      <c r="CB32" s="81"/>
    </row>
    <row r="33" spans="1:83" s="80" customFormat="1" ht="12" customHeight="1">
      <c r="A33" s="115">
        <v>8</v>
      </c>
      <c r="B33" s="16" t="s">
        <v>210</v>
      </c>
      <c r="C33" s="16" t="s">
        <v>358</v>
      </c>
      <c r="D33" s="16" t="s">
        <v>403</v>
      </c>
      <c r="E33" s="16" t="s">
        <v>2</v>
      </c>
      <c r="F33" s="16">
        <v>29384</v>
      </c>
      <c r="G33" s="17">
        <v>9</v>
      </c>
      <c r="H33" s="16" t="s">
        <v>521</v>
      </c>
      <c r="I33" s="16" t="s">
        <v>401</v>
      </c>
      <c r="J33" s="51">
        <f t="shared" si="1"/>
        <v>1.4444444444444444</v>
      </c>
      <c r="K33" s="16">
        <v>17697</v>
      </c>
      <c r="L33" s="44">
        <v>1</v>
      </c>
      <c r="M33" s="16"/>
      <c r="N33" s="16">
        <v>18</v>
      </c>
      <c r="O33" s="16">
        <v>18</v>
      </c>
      <c r="P33" s="16"/>
      <c r="Q33" s="16">
        <v>18</v>
      </c>
      <c r="R33" s="16">
        <v>8</v>
      </c>
      <c r="S33" s="50"/>
      <c r="T33" s="18"/>
      <c r="U33" s="18"/>
      <c r="V33" s="18"/>
      <c r="W33" s="18"/>
      <c r="X33" s="18"/>
      <c r="Y33" s="45">
        <v>0.1</v>
      </c>
      <c r="Z33" s="45">
        <v>0.2</v>
      </c>
      <c r="AA33" s="319">
        <v>0.125</v>
      </c>
      <c r="AB33" s="45">
        <v>0.25</v>
      </c>
      <c r="AC33" s="47">
        <v>0.15</v>
      </c>
      <c r="AD33" s="47">
        <v>0.3</v>
      </c>
      <c r="AE33" s="16"/>
      <c r="AF33" s="18"/>
      <c r="AG33" s="16">
        <v>13</v>
      </c>
      <c r="AH33" s="18">
        <v>5</v>
      </c>
      <c r="AI33" s="18">
        <v>8</v>
      </c>
      <c r="AJ33" s="18"/>
      <c r="AK33" s="50"/>
      <c r="AL33" s="50"/>
      <c r="AM33" s="49"/>
      <c r="AN33" s="49"/>
      <c r="AO33" s="48"/>
      <c r="AP33" s="48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48"/>
      <c r="BC33" s="18"/>
      <c r="BD33" s="50"/>
      <c r="BE33" s="537"/>
      <c r="BF33" s="666"/>
      <c r="BG33" s="488"/>
      <c r="BH33" s="667"/>
      <c r="BI33" s="16" t="s">
        <v>374</v>
      </c>
      <c r="BJ33" s="51">
        <v>1.1000000000000001</v>
      </c>
      <c r="BK33" s="670"/>
      <c r="BL33" s="670"/>
      <c r="BM33" s="670"/>
      <c r="BN33" s="561"/>
      <c r="BO33" s="313"/>
      <c r="BP33" s="561"/>
      <c r="BQ33" s="561"/>
      <c r="BR33" s="561"/>
      <c r="BS33" s="81"/>
      <c r="BT33" s="81"/>
      <c r="BU33" s="81"/>
      <c r="BV33" s="81"/>
      <c r="BW33" s="81"/>
      <c r="BX33" s="81"/>
      <c r="BY33" s="81"/>
      <c r="BZ33" s="81"/>
      <c r="CA33" s="81"/>
      <c r="CB33" s="81"/>
    </row>
    <row r="34" spans="1:83" s="80" customFormat="1" ht="12" customHeight="1">
      <c r="A34" s="115">
        <v>9</v>
      </c>
      <c r="B34" s="16" t="s">
        <v>211</v>
      </c>
      <c r="C34" s="16" t="s">
        <v>212</v>
      </c>
      <c r="D34" s="16" t="s">
        <v>403</v>
      </c>
      <c r="E34" s="16"/>
      <c r="F34" s="16"/>
      <c r="G34" s="17">
        <v>9</v>
      </c>
      <c r="H34" s="16" t="s">
        <v>522</v>
      </c>
      <c r="I34" s="16" t="s">
        <v>374</v>
      </c>
      <c r="J34" s="51">
        <f t="shared" si="1"/>
        <v>1.0833333333333333</v>
      </c>
      <c r="K34" s="16">
        <v>17697</v>
      </c>
      <c r="L34" s="44">
        <v>0.5</v>
      </c>
      <c r="M34" s="16">
        <v>48313</v>
      </c>
      <c r="N34" s="16">
        <v>18</v>
      </c>
      <c r="O34" s="16">
        <v>18</v>
      </c>
      <c r="P34" s="16"/>
      <c r="Q34" s="51">
        <v>15.5</v>
      </c>
      <c r="R34" s="16">
        <v>4</v>
      </c>
      <c r="S34" s="51"/>
      <c r="T34" s="18"/>
      <c r="U34" s="18"/>
      <c r="V34" s="18"/>
      <c r="W34" s="18"/>
      <c r="X34" s="18"/>
      <c r="Y34" s="45">
        <v>0.1</v>
      </c>
      <c r="Z34" s="45">
        <v>0.2</v>
      </c>
      <c r="AA34" s="319">
        <v>0.125</v>
      </c>
      <c r="AB34" s="45">
        <v>0.25</v>
      </c>
      <c r="AC34" s="47">
        <v>0.15</v>
      </c>
      <c r="AD34" s="47">
        <v>0.3</v>
      </c>
      <c r="AE34" s="16"/>
      <c r="AF34" s="18"/>
      <c r="AG34" s="51">
        <v>15</v>
      </c>
      <c r="AH34" s="18"/>
      <c r="AI34" s="18">
        <v>5</v>
      </c>
      <c r="AJ34" s="18"/>
      <c r="AK34" s="50"/>
      <c r="AL34" s="50"/>
      <c r="AM34" s="49"/>
      <c r="AN34" s="49"/>
      <c r="AO34" s="48"/>
      <c r="AP34" s="48"/>
      <c r="AQ34" s="50"/>
      <c r="AR34" s="50"/>
      <c r="AS34" s="50"/>
      <c r="AT34" s="50"/>
      <c r="AU34" s="50"/>
      <c r="AV34" s="50"/>
      <c r="AW34" s="50"/>
      <c r="AX34" s="50"/>
      <c r="AY34" s="18"/>
      <c r="AZ34" s="50"/>
      <c r="BA34" s="50" t="s">
        <v>519</v>
      </c>
      <c r="BB34" s="50"/>
      <c r="BC34" s="18"/>
      <c r="BD34" s="50"/>
      <c r="BE34" s="537" t="s">
        <v>519</v>
      </c>
      <c r="BF34" s="666"/>
      <c r="BG34" s="488"/>
      <c r="BH34" s="667"/>
      <c r="BI34" s="16" t="s">
        <v>300</v>
      </c>
      <c r="BJ34" s="51">
        <v>1.1000000000000001</v>
      </c>
      <c r="BK34" s="670"/>
      <c r="BL34" s="670"/>
      <c r="BM34" s="670"/>
      <c r="BN34" s="561"/>
      <c r="BO34" s="313"/>
      <c r="BP34" s="561"/>
      <c r="BQ34" s="561"/>
      <c r="BR34" s="561"/>
      <c r="BS34" s="81"/>
      <c r="BT34" s="81"/>
      <c r="BU34" s="81"/>
      <c r="BV34" s="81"/>
      <c r="BW34" s="81"/>
      <c r="BX34" s="81"/>
      <c r="BY34" s="81"/>
      <c r="BZ34" s="81"/>
      <c r="CA34" s="81"/>
      <c r="CB34" s="81"/>
    </row>
    <row r="35" spans="1:83" s="674" customFormat="1" ht="12" customHeight="1">
      <c r="A35" s="115">
        <v>10</v>
      </c>
      <c r="B35" s="14" t="s">
        <v>213</v>
      </c>
      <c r="C35" s="14" t="s">
        <v>61</v>
      </c>
      <c r="D35" s="14" t="s">
        <v>291</v>
      </c>
      <c r="E35" s="14" t="s">
        <v>214</v>
      </c>
      <c r="F35" s="14">
        <v>183195</v>
      </c>
      <c r="G35" s="13">
        <v>11</v>
      </c>
      <c r="H35" s="14" t="s">
        <v>523</v>
      </c>
      <c r="I35" s="16" t="s">
        <v>300</v>
      </c>
      <c r="J35" s="51">
        <f t="shared" si="1"/>
        <v>1.1111111111111112</v>
      </c>
      <c r="K35" s="16">
        <v>17697</v>
      </c>
      <c r="L35" s="671">
        <v>0.3</v>
      </c>
      <c r="M35" s="16"/>
      <c r="N35" s="14">
        <v>18</v>
      </c>
      <c r="O35" s="14">
        <v>18</v>
      </c>
      <c r="P35" s="14"/>
      <c r="Q35" s="14">
        <v>18</v>
      </c>
      <c r="R35" s="14">
        <v>2</v>
      </c>
      <c r="S35" s="50"/>
      <c r="T35" s="18"/>
      <c r="U35" s="18"/>
      <c r="V35" s="15"/>
      <c r="W35" s="15"/>
      <c r="X35" s="18"/>
      <c r="Y35" s="293">
        <v>0.1</v>
      </c>
      <c r="Z35" s="293">
        <v>0.2</v>
      </c>
      <c r="AA35" s="319">
        <v>0.125</v>
      </c>
      <c r="AB35" s="45">
        <v>0.25</v>
      </c>
      <c r="AC35" s="47">
        <v>0.15</v>
      </c>
      <c r="AD35" s="47">
        <v>0.3</v>
      </c>
      <c r="AE35" s="14"/>
      <c r="AF35" s="15"/>
      <c r="AG35" s="14">
        <v>2</v>
      </c>
      <c r="AH35" s="15"/>
      <c r="AI35" s="15"/>
      <c r="AJ35" s="18"/>
      <c r="AK35" s="50"/>
      <c r="AL35" s="50"/>
      <c r="AM35" s="18"/>
      <c r="AN35" s="48"/>
      <c r="AO35" s="48"/>
      <c r="AP35" s="48"/>
      <c r="AQ35" s="50"/>
      <c r="AR35" s="48"/>
      <c r="AS35" s="50"/>
      <c r="AT35" s="50"/>
      <c r="AU35" s="50"/>
      <c r="AV35" s="50"/>
      <c r="AW35" s="50"/>
      <c r="AX35" s="50"/>
      <c r="AY35" s="48"/>
      <c r="AZ35" s="50"/>
      <c r="BA35" s="50"/>
      <c r="BB35" s="36"/>
      <c r="BC35" s="18"/>
      <c r="BD35" s="50" t="s">
        <v>524</v>
      </c>
      <c r="BE35" s="537"/>
      <c r="BF35" s="666"/>
      <c r="BG35" s="488"/>
      <c r="BH35" s="667"/>
      <c r="BI35" s="16" t="s">
        <v>300</v>
      </c>
      <c r="BJ35" s="51">
        <v>1</v>
      </c>
      <c r="BK35" s="670"/>
      <c r="BL35" s="670"/>
      <c r="BM35" s="670"/>
      <c r="BN35" s="114"/>
      <c r="BO35" s="113"/>
      <c r="BP35" s="114"/>
      <c r="BQ35" s="114"/>
      <c r="BR35" s="114"/>
      <c r="BS35" s="672"/>
      <c r="BT35" s="672"/>
      <c r="BU35" s="672"/>
      <c r="BV35" s="672"/>
      <c r="BW35" s="672"/>
      <c r="BX35" s="672"/>
      <c r="BY35" s="672"/>
      <c r="BZ35" s="672"/>
      <c r="CA35" s="672"/>
      <c r="CB35" s="672"/>
      <c r="CC35" s="673"/>
      <c r="CD35" s="673"/>
      <c r="CE35" s="673"/>
    </row>
    <row r="36" spans="1:83" s="674" customFormat="1" ht="12" customHeight="1">
      <c r="A36" s="115">
        <v>11</v>
      </c>
      <c r="B36" s="14" t="s">
        <v>228</v>
      </c>
      <c r="C36" s="14" t="s">
        <v>525</v>
      </c>
      <c r="D36" s="14" t="s">
        <v>403</v>
      </c>
      <c r="E36" s="14"/>
      <c r="F36" s="14"/>
      <c r="G36" s="13">
        <v>11</v>
      </c>
      <c r="H36" s="14" t="s">
        <v>437</v>
      </c>
      <c r="I36" s="16" t="s">
        <v>300</v>
      </c>
      <c r="J36" s="51">
        <f t="shared" si="1"/>
        <v>0.3888888888888889</v>
      </c>
      <c r="K36" s="16">
        <v>17697</v>
      </c>
      <c r="L36" s="671">
        <v>0.3</v>
      </c>
      <c r="M36" s="16"/>
      <c r="N36" s="14">
        <v>18</v>
      </c>
      <c r="O36" s="14">
        <v>18</v>
      </c>
      <c r="P36" s="14"/>
      <c r="Q36" s="14">
        <v>5</v>
      </c>
      <c r="R36" s="14">
        <v>2</v>
      </c>
      <c r="S36" s="50"/>
      <c r="T36" s="18"/>
      <c r="U36" s="18"/>
      <c r="V36" s="15"/>
      <c r="W36" s="15"/>
      <c r="X36" s="18"/>
      <c r="Y36" s="293">
        <v>0.1</v>
      </c>
      <c r="Z36" s="293">
        <v>0.2</v>
      </c>
      <c r="AA36" s="319">
        <v>0.125</v>
      </c>
      <c r="AB36" s="45">
        <v>0.25</v>
      </c>
      <c r="AC36" s="47">
        <v>0.15</v>
      </c>
      <c r="AD36" s="47">
        <v>0.3</v>
      </c>
      <c r="AE36" s="14"/>
      <c r="AF36" s="15"/>
      <c r="AG36" s="14"/>
      <c r="AH36" s="15"/>
      <c r="AI36" s="15"/>
      <c r="AJ36" s="18"/>
      <c r="AK36" s="50"/>
      <c r="AL36" s="50"/>
      <c r="AM36" s="49"/>
      <c r="AN36" s="48"/>
      <c r="AO36" s="48"/>
      <c r="AP36" s="48"/>
      <c r="AQ36" s="50"/>
      <c r="AR36" s="48"/>
      <c r="AS36" s="50"/>
      <c r="AT36" s="50"/>
      <c r="AU36" s="50"/>
      <c r="AV36" s="50"/>
      <c r="AW36" s="50"/>
      <c r="AX36" s="50"/>
      <c r="AY36" s="48" t="s">
        <v>519</v>
      </c>
      <c r="AZ36" s="50"/>
      <c r="BA36" s="50"/>
      <c r="BB36" s="36"/>
      <c r="BC36" s="18"/>
      <c r="BD36" s="50"/>
      <c r="BE36" s="537"/>
      <c r="BF36" s="666"/>
      <c r="BG36" s="488"/>
      <c r="BH36" s="667"/>
      <c r="BI36" s="16" t="s">
        <v>300</v>
      </c>
      <c r="BJ36" s="51">
        <v>1</v>
      </c>
      <c r="BK36" s="670"/>
      <c r="BL36" s="670"/>
      <c r="BM36" s="670"/>
      <c r="BN36" s="114"/>
      <c r="BO36" s="113"/>
      <c r="BP36" s="114"/>
      <c r="BQ36" s="114"/>
      <c r="BR36" s="114"/>
      <c r="BS36" s="672"/>
      <c r="BT36" s="672"/>
      <c r="BU36" s="672"/>
      <c r="BV36" s="672"/>
      <c r="BW36" s="672"/>
      <c r="BX36" s="672"/>
      <c r="BY36" s="672"/>
      <c r="BZ36" s="672"/>
      <c r="CA36" s="672"/>
      <c r="CB36" s="672"/>
      <c r="CC36" s="673"/>
      <c r="CD36" s="673"/>
      <c r="CE36" s="673"/>
    </row>
    <row r="37" spans="1:83" s="80" customFormat="1" ht="12" customHeight="1">
      <c r="A37" s="115">
        <v>12</v>
      </c>
      <c r="B37" s="16" t="s">
        <v>216</v>
      </c>
      <c r="C37" s="16" t="s">
        <v>3</v>
      </c>
      <c r="D37" s="16" t="s">
        <v>403</v>
      </c>
      <c r="E37" s="16" t="s">
        <v>50</v>
      </c>
      <c r="F37" s="16"/>
      <c r="G37" s="17">
        <v>9</v>
      </c>
      <c r="H37" s="16" t="s">
        <v>526</v>
      </c>
      <c r="I37" s="16" t="s">
        <v>374</v>
      </c>
      <c r="J37" s="51">
        <f t="shared" si="1"/>
        <v>1.1666666666666667</v>
      </c>
      <c r="K37" s="16">
        <v>17697</v>
      </c>
      <c r="L37" s="44">
        <v>0.5</v>
      </c>
      <c r="M37" s="16">
        <v>48313</v>
      </c>
      <c r="N37" s="16">
        <v>18</v>
      </c>
      <c r="O37" s="16">
        <v>18</v>
      </c>
      <c r="P37" s="16">
        <v>3</v>
      </c>
      <c r="Q37" s="16">
        <v>10</v>
      </c>
      <c r="R37" s="16">
        <v>8</v>
      </c>
      <c r="S37" s="50"/>
      <c r="T37" s="18"/>
      <c r="U37" s="18"/>
      <c r="V37" s="18"/>
      <c r="W37" s="18"/>
      <c r="X37" s="18"/>
      <c r="Y37" s="45">
        <v>0.1</v>
      </c>
      <c r="Z37" s="45">
        <v>0.2</v>
      </c>
      <c r="AA37" s="319">
        <v>0.125</v>
      </c>
      <c r="AB37" s="45">
        <v>0.25</v>
      </c>
      <c r="AC37" s="47">
        <v>0.15</v>
      </c>
      <c r="AD37" s="47">
        <v>0.3</v>
      </c>
      <c r="AE37" s="16">
        <v>1</v>
      </c>
      <c r="AF37" s="18"/>
      <c r="AG37" s="16">
        <v>7</v>
      </c>
      <c r="AH37" s="18">
        <v>2</v>
      </c>
      <c r="AI37" s="18">
        <v>8</v>
      </c>
      <c r="AJ37" s="18"/>
      <c r="AK37" s="50"/>
      <c r="AL37" s="50"/>
      <c r="AM37" s="49"/>
      <c r="AN37" s="49"/>
      <c r="AO37" s="48"/>
      <c r="AP37" s="48"/>
      <c r="AQ37" s="50"/>
      <c r="AR37" s="48"/>
      <c r="AS37" s="50"/>
      <c r="AT37" s="50"/>
      <c r="AU37" s="50"/>
      <c r="AV37" s="50"/>
      <c r="AW37" s="50"/>
      <c r="AX37" s="50"/>
      <c r="AY37" s="50" t="s">
        <v>519</v>
      </c>
      <c r="AZ37" s="48"/>
      <c r="BA37" s="18"/>
      <c r="BB37" s="50"/>
      <c r="BC37" s="18"/>
      <c r="BD37" s="50"/>
      <c r="BE37" s="537" t="s">
        <v>519</v>
      </c>
      <c r="BF37" s="666"/>
      <c r="BG37" s="488"/>
      <c r="BH37" s="668"/>
      <c r="BI37" s="16" t="s">
        <v>300</v>
      </c>
      <c r="BJ37" s="51">
        <v>1</v>
      </c>
      <c r="BK37" s="668"/>
      <c r="BL37" s="668"/>
      <c r="BM37" s="668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</row>
    <row r="38" spans="1:83" s="80" customFormat="1" ht="12" customHeight="1">
      <c r="A38" s="115">
        <v>13</v>
      </c>
      <c r="B38" s="16" t="s">
        <v>217</v>
      </c>
      <c r="C38" s="16" t="s">
        <v>527</v>
      </c>
      <c r="D38" s="16" t="s">
        <v>403</v>
      </c>
      <c r="E38" s="16" t="s">
        <v>218</v>
      </c>
      <c r="F38" s="16">
        <v>182457</v>
      </c>
      <c r="G38" s="17">
        <v>9</v>
      </c>
      <c r="H38" s="16" t="s">
        <v>528</v>
      </c>
      <c r="I38" s="16" t="s">
        <v>374</v>
      </c>
      <c r="J38" s="51">
        <f t="shared" si="1"/>
        <v>1.3888888888888888</v>
      </c>
      <c r="K38" s="16">
        <v>17697</v>
      </c>
      <c r="L38" s="44">
        <v>0.5</v>
      </c>
      <c r="M38" s="16">
        <v>48313</v>
      </c>
      <c r="N38" s="16">
        <v>18</v>
      </c>
      <c r="O38" s="16">
        <v>18</v>
      </c>
      <c r="P38" s="16">
        <v>25</v>
      </c>
      <c r="Q38" s="16"/>
      <c r="R38" s="16"/>
      <c r="S38" s="50"/>
      <c r="T38" s="18"/>
      <c r="U38" s="18"/>
      <c r="V38" s="18"/>
      <c r="W38" s="18"/>
      <c r="X38" s="18"/>
      <c r="Y38" s="45">
        <v>0.1</v>
      </c>
      <c r="Z38" s="45">
        <v>0.2</v>
      </c>
      <c r="AA38" s="319">
        <v>0.125</v>
      </c>
      <c r="AB38" s="45">
        <v>0.25</v>
      </c>
      <c r="AC38" s="47">
        <v>0.15</v>
      </c>
      <c r="AD38" s="47">
        <v>0.3</v>
      </c>
      <c r="AE38" s="16">
        <v>18</v>
      </c>
      <c r="AF38" s="18"/>
      <c r="AG38" s="16"/>
      <c r="AH38" s="18"/>
      <c r="AI38" s="18"/>
      <c r="AJ38" s="18"/>
      <c r="AK38" s="50"/>
      <c r="AL38" s="48"/>
      <c r="AM38" s="48"/>
      <c r="AN38" s="48"/>
      <c r="AO38" s="48"/>
      <c r="AP38" s="50"/>
      <c r="AQ38" s="50"/>
      <c r="AR38" s="48"/>
      <c r="AS38" s="50"/>
      <c r="AT38" s="50"/>
      <c r="AU38" s="50"/>
      <c r="AV38" s="50"/>
      <c r="AW38" s="50" t="s">
        <v>519</v>
      </c>
      <c r="AX38" s="48"/>
      <c r="AY38" s="50"/>
      <c r="AZ38" s="50"/>
      <c r="BA38" s="50"/>
      <c r="BB38" s="50"/>
      <c r="BC38" s="18"/>
      <c r="BD38" s="50"/>
      <c r="BE38" s="537"/>
      <c r="BF38" s="666"/>
      <c r="BG38" s="488"/>
      <c r="BH38" s="667"/>
      <c r="BI38" s="16" t="s">
        <v>374</v>
      </c>
      <c r="BJ38" s="51">
        <v>1.3</v>
      </c>
      <c r="BK38" s="668"/>
      <c r="BL38" s="668"/>
      <c r="BM38" s="668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</row>
    <row r="39" spans="1:83" s="80" customFormat="1" ht="12" customHeight="1">
      <c r="A39" s="115">
        <v>14</v>
      </c>
      <c r="B39" s="16" t="s">
        <v>223</v>
      </c>
      <c r="C39" s="16" t="s">
        <v>393</v>
      </c>
      <c r="D39" s="16" t="s">
        <v>403</v>
      </c>
      <c r="E39" s="16" t="s">
        <v>209</v>
      </c>
      <c r="F39" s="16">
        <v>398268</v>
      </c>
      <c r="G39" s="17">
        <v>9</v>
      </c>
      <c r="H39" s="16" t="s">
        <v>363</v>
      </c>
      <c r="I39" s="16" t="s">
        <v>374</v>
      </c>
      <c r="J39" s="51">
        <v>1.3</v>
      </c>
      <c r="K39" s="16">
        <v>17697</v>
      </c>
      <c r="L39" s="44">
        <v>0.5</v>
      </c>
      <c r="M39" s="16">
        <v>48313</v>
      </c>
      <c r="N39" s="16">
        <v>18</v>
      </c>
      <c r="O39" s="16">
        <v>18</v>
      </c>
      <c r="P39" s="16">
        <v>24</v>
      </c>
      <c r="Q39" s="16" t="s">
        <v>6</v>
      </c>
      <c r="R39" s="16"/>
      <c r="S39" s="50"/>
      <c r="T39" s="18"/>
      <c r="U39" s="18"/>
      <c r="V39" s="18"/>
      <c r="W39" s="18"/>
      <c r="X39" s="18"/>
      <c r="Y39" s="45">
        <v>0.1</v>
      </c>
      <c r="Z39" s="45">
        <v>0.2</v>
      </c>
      <c r="AA39" s="319">
        <v>0.125</v>
      </c>
      <c r="AB39" s="45">
        <v>0.25</v>
      </c>
      <c r="AC39" s="47">
        <v>0.15</v>
      </c>
      <c r="AD39" s="47">
        <v>0.3</v>
      </c>
      <c r="AE39" s="16">
        <v>18</v>
      </c>
      <c r="AF39" s="18"/>
      <c r="AG39" s="16"/>
      <c r="AH39" s="18"/>
      <c r="AI39" s="18"/>
      <c r="AJ39" s="18"/>
      <c r="AK39" s="50"/>
      <c r="AL39" s="48"/>
      <c r="AM39" s="48"/>
      <c r="AN39" s="48"/>
      <c r="AO39" s="48"/>
      <c r="AP39" s="50"/>
      <c r="AQ39" s="50"/>
      <c r="AR39" s="48"/>
      <c r="AS39" s="50"/>
      <c r="AT39" s="50"/>
      <c r="AU39" s="50"/>
      <c r="AV39" s="50"/>
      <c r="AW39" s="50" t="s">
        <v>519</v>
      </c>
      <c r="AX39" s="48"/>
      <c r="AY39" s="50"/>
      <c r="AZ39" s="50"/>
      <c r="BA39" s="50"/>
      <c r="BB39" s="50"/>
      <c r="BC39" s="18"/>
      <c r="BD39" s="50"/>
      <c r="BE39" s="537"/>
      <c r="BF39" s="666"/>
      <c r="BG39" s="488"/>
      <c r="BH39" s="667"/>
      <c r="BI39" s="16" t="s">
        <v>374</v>
      </c>
      <c r="BJ39" s="51">
        <v>1.3</v>
      </c>
      <c r="BK39" s="668"/>
      <c r="BL39" s="668"/>
      <c r="BM39" s="668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</row>
    <row r="40" spans="1:83" s="80" customFormat="1" ht="12" customHeight="1">
      <c r="A40" s="115">
        <v>15</v>
      </c>
      <c r="B40" s="16" t="s">
        <v>224</v>
      </c>
      <c r="C40" s="16" t="s">
        <v>368</v>
      </c>
      <c r="D40" s="16" t="s">
        <v>403</v>
      </c>
      <c r="E40" s="16" t="s">
        <v>218</v>
      </c>
      <c r="F40" s="16">
        <v>135829</v>
      </c>
      <c r="G40" s="17">
        <v>9</v>
      </c>
      <c r="H40" s="16" t="s">
        <v>529</v>
      </c>
      <c r="I40" s="16" t="s">
        <v>374</v>
      </c>
      <c r="J40" s="51">
        <f t="shared" si="1"/>
        <v>1.3333333333333333</v>
      </c>
      <c r="K40" s="16">
        <v>17697</v>
      </c>
      <c r="L40" s="44">
        <v>0.5</v>
      </c>
      <c r="M40" s="16">
        <v>48313</v>
      </c>
      <c r="N40" s="16">
        <v>18</v>
      </c>
      <c r="O40" s="16">
        <v>18</v>
      </c>
      <c r="P40" s="16">
        <v>24</v>
      </c>
      <c r="Q40" s="16"/>
      <c r="R40" s="16"/>
      <c r="S40" s="50"/>
      <c r="T40" s="18"/>
      <c r="U40" s="18"/>
      <c r="V40" s="18"/>
      <c r="W40" s="18"/>
      <c r="X40" s="18"/>
      <c r="Y40" s="45">
        <v>0.1</v>
      </c>
      <c r="Z40" s="45">
        <v>0.2</v>
      </c>
      <c r="AA40" s="319">
        <v>0.125</v>
      </c>
      <c r="AB40" s="45">
        <v>0.25</v>
      </c>
      <c r="AC40" s="47">
        <v>0.15</v>
      </c>
      <c r="AD40" s="47">
        <v>0.3</v>
      </c>
      <c r="AE40" s="16">
        <v>18</v>
      </c>
      <c r="AF40" s="18"/>
      <c r="AG40" s="16"/>
      <c r="AH40" s="18"/>
      <c r="AI40" s="18"/>
      <c r="AJ40" s="18"/>
      <c r="AK40" s="50"/>
      <c r="AL40" s="48"/>
      <c r="AM40" s="48"/>
      <c r="AN40" s="48"/>
      <c r="AO40" s="48"/>
      <c r="AP40" s="50"/>
      <c r="AQ40" s="50"/>
      <c r="AR40" s="48"/>
      <c r="AS40" s="50"/>
      <c r="AT40" s="50"/>
      <c r="AU40" s="50"/>
      <c r="AV40" s="50"/>
      <c r="AW40" s="50" t="s">
        <v>519</v>
      </c>
      <c r="AX40" s="48"/>
      <c r="AY40" s="48"/>
      <c r="AZ40" s="50"/>
      <c r="BA40" s="50"/>
      <c r="BB40" s="50"/>
      <c r="BC40" s="18"/>
      <c r="BD40" s="50"/>
      <c r="BE40" s="537" t="s">
        <v>519</v>
      </c>
      <c r="BF40" s="666"/>
      <c r="BG40" s="488"/>
      <c r="BH40" s="667"/>
      <c r="BI40" s="16" t="s">
        <v>374</v>
      </c>
      <c r="BJ40" s="51">
        <v>1.3</v>
      </c>
      <c r="BK40" s="668"/>
      <c r="BL40" s="668"/>
      <c r="BM40" s="668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</row>
    <row r="41" spans="1:83" s="80" customFormat="1" ht="12" customHeight="1">
      <c r="A41" s="115">
        <v>16</v>
      </c>
      <c r="B41" s="16" t="s">
        <v>60</v>
      </c>
      <c r="C41" s="16" t="s">
        <v>530</v>
      </c>
      <c r="D41" s="16" t="s">
        <v>531</v>
      </c>
      <c r="E41" s="16" t="s">
        <v>532</v>
      </c>
      <c r="F41" s="16">
        <v>322944</v>
      </c>
      <c r="G41" s="17">
        <v>11</v>
      </c>
      <c r="H41" s="16" t="s">
        <v>533</v>
      </c>
      <c r="I41" s="16" t="s">
        <v>355</v>
      </c>
      <c r="J41" s="51">
        <f t="shared" si="1"/>
        <v>1</v>
      </c>
      <c r="K41" s="16">
        <v>17697</v>
      </c>
      <c r="L41" s="44"/>
      <c r="M41" s="16"/>
      <c r="N41" s="16">
        <v>18</v>
      </c>
      <c r="O41" s="16">
        <v>18</v>
      </c>
      <c r="P41" s="16">
        <v>18</v>
      </c>
      <c r="Q41" s="16"/>
      <c r="R41" s="16"/>
      <c r="S41" s="50"/>
      <c r="T41" s="18"/>
      <c r="U41" s="18"/>
      <c r="V41" s="18"/>
      <c r="W41" s="18"/>
      <c r="X41" s="18"/>
      <c r="Y41" s="45">
        <v>0.1</v>
      </c>
      <c r="Z41" s="45">
        <v>0.2</v>
      </c>
      <c r="AA41" s="319">
        <v>0.125</v>
      </c>
      <c r="AB41" s="45">
        <v>0.25</v>
      </c>
      <c r="AC41" s="47">
        <v>0.15</v>
      </c>
      <c r="AD41" s="47">
        <v>0.3</v>
      </c>
      <c r="AE41" s="16">
        <v>18</v>
      </c>
      <c r="AF41" s="18"/>
      <c r="AG41" s="16"/>
      <c r="AH41" s="18"/>
      <c r="AI41" s="18"/>
      <c r="AJ41" s="18"/>
      <c r="AK41" s="50"/>
      <c r="AL41" s="48"/>
      <c r="AM41" s="48"/>
      <c r="AN41" s="48"/>
      <c r="AO41" s="48"/>
      <c r="AP41" s="50"/>
      <c r="AQ41" s="50"/>
      <c r="AR41" s="48"/>
      <c r="AS41" s="50"/>
      <c r="AT41" s="50"/>
      <c r="AU41" s="50"/>
      <c r="AV41" s="50"/>
      <c r="AW41" s="50" t="s">
        <v>519</v>
      </c>
      <c r="AX41" s="48"/>
      <c r="AY41" s="50"/>
      <c r="AZ41" s="50"/>
      <c r="BA41" s="50"/>
      <c r="BB41" s="50"/>
      <c r="BC41" s="18"/>
      <c r="BD41" s="50"/>
      <c r="BE41" s="537" t="s">
        <v>519</v>
      </c>
      <c r="BF41" s="666"/>
      <c r="BG41" s="488"/>
      <c r="BH41" s="667"/>
      <c r="BI41" s="16"/>
      <c r="BJ41" s="51">
        <v>1.3</v>
      </c>
      <c r="BK41" s="668"/>
      <c r="BL41" s="668"/>
      <c r="BM41" s="668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</row>
    <row r="42" spans="1:83" s="80" customFormat="1" ht="12" customHeight="1">
      <c r="A42" s="115">
        <v>17</v>
      </c>
      <c r="B42" s="16" t="s">
        <v>534</v>
      </c>
      <c r="C42" s="16" t="s">
        <v>1</v>
      </c>
      <c r="D42" s="16" t="s">
        <v>403</v>
      </c>
      <c r="E42" s="16" t="s">
        <v>2</v>
      </c>
      <c r="F42" s="16">
        <v>92541</v>
      </c>
      <c r="G42" s="17">
        <v>9</v>
      </c>
      <c r="H42" s="16" t="s">
        <v>535</v>
      </c>
      <c r="I42" s="16" t="s">
        <v>374</v>
      </c>
      <c r="J42" s="51">
        <f t="shared" si="1"/>
        <v>1.0555555555555556</v>
      </c>
      <c r="K42" s="16">
        <v>17697</v>
      </c>
      <c r="L42" s="44">
        <v>0.5</v>
      </c>
      <c r="M42" s="16">
        <v>50967</v>
      </c>
      <c r="N42" s="16">
        <v>18</v>
      </c>
      <c r="O42" s="16">
        <v>18</v>
      </c>
      <c r="P42" s="16"/>
      <c r="Q42" s="16">
        <v>14</v>
      </c>
      <c r="R42" s="16">
        <v>5</v>
      </c>
      <c r="S42" s="50"/>
      <c r="T42" s="18"/>
      <c r="U42" s="18"/>
      <c r="V42" s="18"/>
      <c r="W42" s="18"/>
      <c r="X42" s="18"/>
      <c r="Y42" s="45">
        <v>0.1</v>
      </c>
      <c r="Z42" s="45">
        <v>0.2</v>
      </c>
      <c r="AA42" s="319">
        <v>0.125</v>
      </c>
      <c r="AB42" s="45">
        <v>0.25</v>
      </c>
      <c r="AC42" s="47">
        <v>0.15</v>
      </c>
      <c r="AD42" s="47">
        <v>0.3</v>
      </c>
      <c r="AE42" s="16"/>
      <c r="AF42" s="18"/>
      <c r="AG42" s="16">
        <v>14</v>
      </c>
      <c r="AH42" s="18">
        <v>5</v>
      </c>
      <c r="AI42" s="18"/>
      <c r="AJ42" s="18"/>
      <c r="AK42" s="50"/>
      <c r="AL42" s="50"/>
      <c r="AM42" s="48"/>
      <c r="AN42" s="48"/>
      <c r="AO42" s="48"/>
      <c r="AP42" s="48"/>
      <c r="AQ42" s="50"/>
      <c r="AR42" s="48"/>
      <c r="AS42" s="50"/>
      <c r="AT42" s="50"/>
      <c r="AU42" s="50"/>
      <c r="AV42" s="50"/>
      <c r="AW42" s="50"/>
      <c r="AX42" s="50"/>
      <c r="AY42" s="18"/>
      <c r="AZ42" s="48"/>
      <c r="BA42" s="50" t="s">
        <v>519</v>
      </c>
      <c r="BB42" s="50"/>
      <c r="BC42" s="18"/>
      <c r="BD42" s="50"/>
      <c r="BE42" s="537" t="s">
        <v>519</v>
      </c>
      <c r="BF42" s="666"/>
      <c r="BG42" s="488"/>
      <c r="BH42" s="667"/>
      <c r="BI42" s="16" t="s">
        <v>374</v>
      </c>
      <c r="BJ42" s="51">
        <v>1.1000000000000001</v>
      </c>
      <c r="BK42" s="668"/>
      <c r="BL42" s="668"/>
      <c r="BM42" s="668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</row>
    <row r="43" spans="1:83" s="80" customFormat="1" ht="12" customHeight="1">
      <c r="A43" s="115">
        <v>18</v>
      </c>
      <c r="B43" s="16" t="s">
        <v>225</v>
      </c>
      <c r="C43" s="16" t="s">
        <v>215</v>
      </c>
      <c r="D43" s="16" t="s">
        <v>403</v>
      </c>
      <c r="E43" s="16" t="s">
        <v>453</v>
      </c>
      <c r="F43" s="16">
        <v>24907</v>
      </c>
      <c r="G43" s="17">
        <v>9</v>
      </c>
      <c r="H43" s="16" t="s">
        <v>536</v>
      </c>
      <c r="I43" s="16" t="s">
        <v>300</v>
      </c>
      <c r="J43" s="51">
        <f t="shared" si="1"/>
        <v>1.1666666666666667</v>
      </c>
      <c r="K43" s="16">
        <v>17697</v>
      </c>
      <c r="L43" s="44">
        <v>0.5</v>
      </c>
      <c r="M43" s="16"/>
      <c r="N43" s="16">
        <v>18</v>
      </c>
      <c r="O43" s="16">
        <v>18</v>
      </c>
      <c r="P43" s="16">
        <v>9</v>
      </c>
      <c r="Q43" s="16">
        <v>6</v>
      </c>
      <c r="R43" s="16">
        <v>6</v>
      </c>
      <c r="S43" s="50"/>
      <c r="T43" s="18"/>
      <c r="U43" s="18"/>
      <c r="V43" s="18"/>
      <c r="W43" s="18"/>
      <c r="X43" s="18"/>
      <c r="Y43" s="45">
        <v>0.1</v>
      </c>
      <c r="Z43" s="45">
        <v>0.2</v>
      </c>
      <c r="AA43" s="319">
        <v>0.125</v>
      </c>
      <c r="AB43" s="45">
        <v>0.25</v>
      </c>
      <c r="AC43" s="47">
        <v>0.15</v>
      </c>
      <c r="AD43" s="47">
        <v>0.3</v>
      </c>
      <c r="AE43" s="16"/>
      <c r="AF43" s="18"/>
      <c r="AG43" s="16"/>
      <c r="AH43" s="52"/>
      <c r="AI43" s="18"/>
      <c r="AJ43" s="18"/>
      <c r="AK43" s="50"/>
      <c r="AL43" s="50"/>
      <c r="AM43" s="48"/>
      <c r="AN43" s="48"/>
      <c r="AO43" s="48"/>
      <c r="AP43" s="50"/>
      <c r="AQ43" s="50"/>
      <c r="AR43" s="48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18"/>
      <c r="BD43" s="44">
        <v>0.25</v>
      </c>
      <c r="BE43" s="537"/>
      <c r="BF43" s="666"/>
      <c r="BG43" s="488"/>
      <c r="BH43" s="667"/>
      <c r="BI43" s="16" t="s">
        <v>374</v>
      </c>
      <c r="BJ43" s="51">
        <v>1.2</v>
      </c>
      <c r="BK43" s="668"/>
      <c r="BL43" s="668"/>
      <c r="BM43" s="668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</row>
    <row r="44" spans="1:83" s="80" customFormat="1" ht="12" customHeight="1">
      <c r="A44" s="115">
        <v>19</v>
      </c>
      <c r="B44" s="16" t="s">
        <v>226</v>
      </c>
      <c r="C44" s="16" t="s">
        <v>227</v>
      </c>
      <c r="D44" s="16" t="s">
        <v>403</v>
      </c>
      <c r="E44" s="16" t="s">
        <v>2</v>
      </c>
      <c r="F44" s="16"/>
      <c r="G44" s="17">
        <v>9</v>
      </c>
      <c r="H44" s="16" t="s">
        <v>235</v>
      </c>
      <c r="I44" s="16" t="s">
        <v>374</v>
      </c>
      <c r="J44" s="51">
        <f t="shared" si="1"/>
        <v>1.4444444444444444</v>
      </c>
      <c r="K44" s="16">
        <v>17697</v>
      </c>
      <c r="L44" s="44">
        <v>0.5</v>
      </c>
      <c r="M44" s="16">
        <v>48313</v>
      </c>
      <c r="N44" s="16">
        <v>18</v>
      </c>
      <c r="O44" s="16">
        <v>18</v>
      </c>
      <c r="P44" s="16">
        <v>4</v>
      </c>
      <c r="Q44" s="16">
        <v>15</v>
      </c>
      <c r="R44" s="16">
        <v>7</v>
      </c>
      <c r="S44" s="50"/>
      <c r="T44" s="18"/>
      <c r="U44" s="18"/>
      <c r="V44" s="18"/>
      <c r="W44" s="18"/>
      <c r="X44" s="18"/>
      <c r="Y44" s="45">
        <v>0.1</v>
      </c>
      <c r="Z44" s="45">
        <v>0.2</v>
      </c>
      <c r="AA44" s="319">
        <v>0.125</v>
      </c>
      <c r="AB44" s="45">
        <v>0.25</v>
      </c>
      <c r="AC44" s="47">
        <v>0.15</v>
      </c>
      <c r="AD44" s="47">
        <v>0.3</v>
      </c>
      <c r="AE44" s="16">
        <v>4</v>
      </c>
      <c r="AF44" s="18"/>
      <c r="AG44" s="16">
        <v>12</v>
      </c>
      <c r="AH44" s="675">
        <v>3</v>
      </c>
      <c r="AI44" s="18">
        <v>7</v>
      </c>
      <c r="AJ44" s="18"/>
      <c r="AK44" s="50"/>
      <c r="AL44" s="50"/>
      <c r="AM44" s="48"/>
      <c r="AN44" s="49"/>
      <c r="AO44" s="48"/>
      <c r="AP44" s="50"/>
      <c r="AQ44" s="50"/>
      <c r="AR44" s="48">
        <v>4</v>
      </c>
      <c r="AS44" s="50">
        <v>15</v>
      </c>
      <c r="AT44" s="49"/>
      <c r="AU44" s="50">
        <v>7</v>
      </c>
      <c r="AV44" s="18"/>
      <c r="AW44" s="50"/>
      <c r="AX44" s="50"/>
      <c r="AY44" s="18" t="s">
        <v>519</v>
      </c>
      <c r="AZ44" s="50"/>
      <c r="BA44" s="50"/>
      <c r="BB44" s="50"/>
      <c r="BC44" s="18"/>
      <c r="BD44" s="50"/>
      <c r="BE44" s="669"/>
      <c r="BF44" s="666"/>
      <c r="BG44" s="488"/>
      <c r="BH44" s="667"/>
      <c r="BI44" s="16" t="s">
        <v>300</v>
      </c>
      <c r="BJ44" s="51">
        <v>1</v>
      </c>
      <c r="BK44" s="668"/>
      <c r="BL44" s="668"/>
      <c r="BM44" s="668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</row>
    <row r="45" spans="1:83" s="80" customFormat="1" ht="12" customHeight="1">
      <c r="A45" s="115">
        <v>20</v>
      </c>
      <c r="B45" s="16" t="s">
        <v>229</v>
      </c>
      <c r="C45" s="16" t="s">
        <v>230</v>
      </c>
      <c r="D45" s="16" t="s">
        <v>403</v>
      </c>
      <c r="E45" s="16" t="s">
        <v>207</v>
      </c>
      <c r="F45" s="16"/>
      <c r="G45" s="17">
        <v>9</v>
      </c>
      <c r="H45" s="16" t="s">
        <v>537</v>
      </c>
      <c r="I45" s="16" t="s">
        <v>374</v>
      </c>
      <c r="J45" s="51">
        <f>(P45+Q45+R45)/N45</f>
        <v>0.97222222222222221</v>
      </c>
      <c r="K45" s="16">
        <v>17697</v>
      </c>
      <c r="L45" s="44">
        <v>0.5</v>
      </c>
      <c r="M45" s="16">
        <v>48313</v>
      </c>
      <c r="N45" s="16">
        <v>18</v>
      </c>
      <c r="O45" s="16">
        <v>18</v>
      </c>
      <c r="P45" s="16"/>
      <c r="Q45" s="681" t="s">
        <v>540</v>
      </c>
      <c r="R45" s="16">
        <v>6</v>
      </c>
      <c r="S45" s="118"/>
      <c r="T45" s="18"/>
      <c r="U45" s="18"/>
      <c r="V45" s="18"/>
      <c r="W45" s="18"/>
      <c r="X45" s="18"/>
      <c r="Y45" s="45">
        <v>0.1</v>
      </c>
      <c r="Z45" s="45">
        <v>0.2</v>
      </c>
      <c r="AA45" s="319">
        <v>0.125</v>
      </c>
      <c r="AB45" s="45">
        <v>0.25</v>
      </c>
      <c r="AC45" s="47">
        <v>0.15</v>
      </c>
      <c r="AD45" s="47">
        <v>0.3</v>
      </c>
      <c r="AE45" s="16"/>
      <c r="AF45" s="18"/>
      <c r="AG45" s="16">
        <v>4</v>
      </c>
      <c r="AH45" s="675"/>
      <c r="AI45" s="18">
        <v>3</v>
      </c>
      <c r="AJ45" s="18"/>
      <c r="AK45" s="50"/>
      <c r="AL45" s="50"/>
      <c r="AM45" s="48"/>
      <c r="AN45" s="676"/>
      <c r="AO45" s="48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18"/>
      <c r="BD45" s="50"/>
      <c r="BE45" s="669"/>
      <c r="BF45" s="666">
        <v>8.5</v>
      </c>
      <c r="BG45" s="488"/>
      <c r="BH45" s="667"/>
      <c r="BI45" s="16"/>
      <c r="BJ45" s="51"/>
      <c r="BK45" s="668"/>
      <c r="BL45" s="668"/>
      <c r="BM45" s="668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</row>
    <row r="46" spans="1:83" s="80" customFormat="1" ht="12" customHeight="1">
      <c r="A46" s="115">
        <v>21</v>
      </c>
      <c r="B46" s="16" t="s">
        <v>538</v>
      </c>
      <c r="C46" s="16" t="s">
        <v>426</v>
      </c>
      <c r="D46" s="16" t="s">
        <v>539</v>
      </c>
      <c r="E46" s="16"/>
      <c r="F46" s="16"/>
      <c r="G46" s="17"/>
      <c r="H46" s="351" t="s">
        <v>513</v>
      </c>
      <c r="I46" s="16" t="s">
        <v>300</v>
      </c>
      <c r="J46" s="51"/>
      <c r="K46" s="16">
        <v>17697</v>
      </c>
      <c r="L46" s="44">
        <v>0.3</v>
      </c>
      <c r="M46" s="16"/>
      <c r="N46" s="16"/>
      <c r="O46" s="16"/>
      <c r="P46" s="16"/>
      <c r="Q46" s="16"/>
      <c r="R46" s="16">
        <v>2</v>
      </c>
      <c r="S46" s="50"/>
      <c r="T46" s="18"/>
      <c r="U46" s="18"/>
      <c r="V46" s="18"/>
      <c r="W46" s="18"/>
      <c r="X46" s="18"/>
      <c r="Y46" s="45"/>
      <c r="Z46" s="45"/>
      <c r="AA46" s="319"/>
      <c r="AB46" s="45"/>
      <c r="AC46" s="47"/>
      <c r="AD46" s="47"/>
      <c r="AE46" s="16"/>
      <c r="AF46" s="18"/>
      <c r="AG46" s="16"/>
      <c r="AH46" s="675"/>
      <c r="AI46" s="18"/>
      <c r="AJ46" s="18"/>
      <c r="AK46" s="50"/>
      <c r="AL46" s="50"/>
      <c r="AM46" s="48"/>
      <c r="AN46" s="676"/>
      <c r="AO46" s="48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18"/>
      <c r="BD46" s="50"/>
      <c r="BE46" s="669"/>
      <c r="BF46" s="666"/>
      <c r="BG46" s="488"/>
      <c r="BH46" s="667"/>
      <c r="BI46" s="16" t="s">
        <v>374</v>
      </c>
      <c r="BJ46" s="51">
        <v>1</v>
      </c>
      <c r="BK46" s="668"/>
      <c r="BL46" s="668"/>
      <c r="BM46" s="668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</row>
    <row r="47" spans="1:83" s="94" customFormat="1" ht="12" customHeight="1">
      <c r="A47" s="314"/>
      <c r="B47" s="320" t="s">
        <v>231</v>
      </c>
      <c r="C47" s="320" t="s">
        <v>302</v>
      </c>
      <c r="D47" s="320" t="s">
        <v>302</v>
      </c>
      <c r="E47" s="320"/>
      <c r="F47" s="320"/>
      <c r="G47" s="321" t="s">
        <v>302</v>
      </c>
      <c r="H47" s="320" t="s">
        <v>302</v>
      </c>
      <c r="I47" s="320" t="s">
        <v>302</v>
      </c>
      <c r="J47" s="51">
        <f>SUM(J26:J46)</f>
        <v>20.022222222222222</v>
      </c>
      <c r="K47" s="321" t="s">
        <v>302</v>
      </c>
      <c r="L47" s="322"/>
      <c r="M47" s="320" t="s">
        <v>302</v>
      </c>
      <c r="N47" s="320" t="s">
        <v>302</v>
      </c>
      <c r="O47" s="320" t="s">
        <v>302</v>
      </c>
      <c r="P47" s="320">
        <f t="shared" ref="P47:AJ47" si="2">SUM(P26:P46)</f>
        <v>107</v>
      </c>
      <c r="Q47" s="320">
        <v>178</v>
      </c>
      <c r="R47" s="320">
        <f>SUM(R26:R46)</f>
        <v>78</v>
      </c>
      <c r="S47" s="320"/>
      <c r="T47" s="320"/>
      <c r="U47" s="320"/>
      <c r="V47" s="320"/>
      <c r="W47" s="320"/>
      <c r="X47" s="320"/>
      <c r="Y47" s="320">
        <f t="shared" si="2"/>
        <v>1.9000000000000006</v>
      </c>
      <c r="Z47" s="320">
        <f t="shared" si="2"/>
        <v>4.0000000000000009</v>
      </c>
      <c r="AA47" s="320">
        <f t="shared" si="2"/>
        <v>2.5</v>
      </c>
      <c r="AB47" s="320">
        <f t="shared" si="2"/>
        <v>5</v>
      </c>
      <c r="AC47" s="320">
        <f t="shared" si="2"/>
        <v>2.9999999999999991</v>
      </c>
      <c r="AD47" s="320">
        <f t="shared" si="2"/>
        <v>5.9999999999999982</v>
      </c>
      <c r="AE47" s="320">
        <f t="shared" si="2"/>
        <v>77</v>
      </c>
      <c r="AF47" s="320">
        <f t="shared" si="2"/>
        <v>0</v>
      </c>
      <c r="AG47" s="320">
        <f t="shared" si="2"/>
        <v>94</v>
      </c>
      <c r="AH47" s="320">
        <f t="shared" si="2"/>
        <v>15</v>
      </c>
      <c r="AI47" s="320">
        <f t="shared" si="2"/>
        <v>40</v>
      </c>
      <c r="AJ47" s="121">
        <f t="shared" si="2"/>
        <v>0</v>
      </c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677"/>
      <c r="BI47" s="677"/>
      <c r="BJ47" s="678">
        <f>SUM(BJ26:BJ46)</f>
        <v>19.100000000000001</v>
      </c>
      <c r="BK47" s="677"/>
      <c r="BL47" s="677"/>
      <c r="BM47" s="677"/>
      <c r="BN47" s="679"/>
      <c r="BO47" s="679"/>
      <c r="BP47" s="679"/>
      <c r="BQ47" s="679"/>
      <c r="BR47" s="679"/>
      <c r="BS47" s="679"/>
      <c r="BT47" s="679"/>
      <c r="BU47" s="679"/>
      <c r="BV47" s="679"/>
      <c r="BW47" s="679"/>
      <c r="BX47" s="679"/>
      <c r="BY47" s="679"/>
      <c r="BZ47" s="679"/>
      <c r="CA47" s="679"/>
      <c r="CB47" s="679"/>
      <c r="CC47" s="479"/>
      <c r="CD47" s="479"/>
      <c r="CE47" s="479"/>
    </row>
    <row r="48" spans="1:83">
      <c r="I48" s="315"/>
      <c r="P48" s="680">
        <v>107</v>
      </c>
      <c r="Q48" s="680">
        <v>173</v>
      </c>
      <c r="R48" s="680"/>
      <c r="S48" s="325"/>
      <c r="T48" s="325"/>
      <c r="U48" s="325"/>
      <c r="V48" s="325"/>
      <c r="W48" s="325"/>
      <c r="X48" s="325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5"/>
      <c r="BA48" s="32"/>
      <c r="BB48" s="55"/>
      <c r="BC48" s="55"/>
      <c r="BD48" s="32"/>
      <c r="BE48" s="32"/>
      <c r="BF48" s="57"/>
      <c r="BG48" s="668"/>
      <c r="BH48" s="56"/>
      <c r="BI48" s="56"/>
      <c r="BJ48" s="56"/>
      <c r="BK48" s="56"/>
      <c r="BL48" s="56"/>
      <c r="BM48" s="56"/>
    </row>
    <row r="49" spans="36:65">
      <c r="AJ49" s="32"/>
      <c r="AK49" s="32"/>
      <c r="AL49" s="32"/>
      <c r="AM49" s="33" t="s">
        <v>303</v>
      </c>
      <c r="AN49" s="33"/>
      <c r="AO49" s="33"/>
      <c r="AP49" s="33"/>
      <c r="AQ49" s="34"/>
      <c r="AR49" s="33"/>
      <c r="AS49" s="33"/>
      <c r="AT49" s="122"/>
      <c r="AU49" s="35"/>
      <c r="AV49" s="33" t="s">
        <v>232</v>
      </c>
      <c r="AW49" s="35"/>
      <c r="AX49" s="349"/>
      <c r="AY49" s="32"/>
      <c r="AZ49" s="55"/>
      <c r="BA49" s="32"/>
      <c r="BB49" s="55"/>
      <c r="BC49" s="55"/>
      <c r="BD49" s="32"/>
      <c r="BE49" s="32"/>
      <c r="BF49" s="57"/>
      <c r="BG49" s="56"/>
      <c r="BH49" s="56"/>
      <c r="BI49" s="56"/>
      <c r="BJ49" s="56"/>
      <c r="BK49" s="56"/>
      <c r="BL49" s="56"/>
      <c r="BM49" s="56"/>
    </row>
    <row r="50" spans="36:65">
      <c r="AJ50" s="32"/>
      <c r="AK50" s="32"/>
      <c r="AL50" s="32"/>
      <c r="AM50" s="33"/>
      <c r="AN50" s="33"/>
      <c r="AO50" s="33"/>
      <c r="AP50" s="33"/>
      <c r="AQ50" s="34"/>
      <c r="AR50" s="33"/>
      <c r="AS50" s="33"/>
      <c r="AT50" s="33"/>
      <c r="AU50" s="35"/>
      <c r="AV50" s="33"/>
      <c r="AW50" s="35"/>
      <c r="AX50" s="349"/>
      <c r="AY50" s="32"/>
      <c r="AZ50" s="55"/>
      <c r="BA50" s="32"/>
      <c r="BB50" s="55"/>
      <c r="BC50" s="55"/>
      <c r="BD50" s="32"/>
      <c r="BE50" s="32"/>
      <c r="BF50" s="58"/>
      <c r="BG50" s="32"/>
      <c r="BH50" s="56"/>
      <c r="BI50" s="56"/>
      <c r="BJ50" s="56"/>
      <c r="BK50" s="56"/>
      <c r="BL50" s="56"/>
      <c r="BM50" s="56"/>
    </row>
    <row r="51" spans="36:65">
      <c r="AJ51" s="32"/>
      <c r="AK51" s="32"/>
      <c r="AL51" s="32"/>
      <c r="AM51" s="33" t="s">
        <v>474</v>
      </c>
      <c r="AN51" s="33"/>
      <c r="AO51" s="33"/>
      <c r="AP51" s="33"/>
      <c r="AQ51" s="34"/>
      <c r="AR51" s="33"/>
      <c r="AS51" s="33"/>
      <c r="AT51" s="33"/>
      <c r="AU51" s="35"/>
      <c r="AV51" s="33"/>
      <c r="AW51" s="35"/>
      <c r="AX51" s="349"/>
      <c r="AY51" s="32"/>
      <c r="AZ51" s="55"/>
      <c r="BA51" s="32"/>
      <c r="BB51" s="55"/>
      <c r="BC51" s="55"/>
      <c r="BD51" s="32"/>
      <c r="BE51" s="32"/>
      <c r="BF51" s="58"/>
      <c r="BG51" s="32"/>
      <c r="BH51" s="56"/>
      <c r="BI51" s="56"/>
      <c r="BJ51" s="56"/>
      <c r="BK51" s="56"/>
      <c r="BL51" s="56"/>
      <c r="BM51" s="56"/>
    </row>
    <row r="52" spans="36:65">
      <c r="AJ52" s="32"/>
      <c r="AK52" s="32"/>
      <c r="AL52" s="32"/>
      <c r="AM52" s="37"/>
      <c r="AN52" s="37"/>
      <c r="AO52" s="37"/>
      <c r="AP52" s="37"/>
      <c r="AQ52" s="38"/>
      <c r="AR52" s="37"/>
      <c r="AS52" s="37"/>
      <c r="AT52" s="37"/>
      <c r="AU52" s="55"/>
      <c r="AV52" s="37"/>
      <c r="AW52" s="55"/>
      <c r="AX52" s="350"/>
      <c r="AY52" s="32"/>
      <c r="AZ52" s="55"/>
      <c r="BA52" s="32"/>
      <c r="BB52" s="55"/>
      <c r="BC52" s="55"/>
      <c r="BD52" s="32"/>
      <c r="BE52" s="32"/>
      <c r="BF52" s="58"/>
      <c r="BG52" s="32"/>
      <c r="BH52" s="56"/>
      <c r="BI52" s="56"/>
      <c r="BJ52" s="56"/>
      <c r="BK52" s="56"/>
      <c r="BL52" s="56"/>
      <c r="BM52" s="56"/>
    </row>
    <row r="53" spans="36:65">
      <c r="AJ53" s="32"/>
      <c r="AK53" s="32"/>
      <c r="AL53" s="32"/>
      <c r="AM53" s="59" t="s">
        <v>407</v>
      </c>
      <c r="AN53" s="37"/>
      <c r="AO53" s="37"/>
      <c r="AP53" s="37"/>
      <c r="AQ53" s="38"/>
      <c r="AR53" s="37"/>
      <c r="AS53" s="37"/>
      <c r="AT53" s="37"/>
      <c r="AU53" s="55"/>
      <c r="AV53" s="348"/>
      <c r="AW53" s="55"/>
      <c r="AX53" s="350"/>
      <c r="AY53" s="32"/>
      <c r="AZ53" s="55"/>
      <c r="BA53" s="32"/>
      <c r="BB53" s="55"/>
      <c r="BC53" s="55"/>
      <c r="BD53" s="32"/>
      <c r="BE53" s="32"/>
      <c r="BF53" s="58"/>
      <c r="BG53" s="32"/>
      <c r="BH53" s="56"/>
      <c r="BI53" s="56"/>
      <c r="BJ53" s="56"/>
      <c r="BK53" s="56"/>
      <c r="BL53" s="56"/>
      <c r="BM53" s="56"/>
    </row>
    <row r="54" spans="36:65"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5"/>
      <c r="BA54" s="32"/>
      <c r="BB54" s="55"/>
      <c r="BC54" s="55"/>
      <c r="BD54" s="32"/>
      <c r="BE54" s="32"/>
      <c r="BF54" s="58"/>
      <c r="BG54" s="32"/>
      <c r="BH54" s="56"/>
      <c r="BI54" s="56"/>
      <c r="BJ54" s="56"/>
      <c r="BK54" s="56"/>
      <c r="BL54" s="56"/>
      <c r="BM54" s="56"/>
    </row>
    <row r="55" spans="36:65"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5"/>
      <c r="BA55" s="32"/>
      <c r="BB55" s="55"/>
      <c r="BC55" s="55"/>
      <c r="BD55" s="32"/>
      <c r="BE55" s="32"/>
      <c r="BF55" s="58"/>
      <c r="BG55" s="32"/>
      <c r="BH55" s="56"/>
      <c r="BI55" s="56"/>
      <c r="BJ55" s="56"/>
      <c r="BK55" s="56"/>
      <c r="BL55" s="56"/>
      <c r="BM55" s="56"/>
    </row>
    <row r="56" spans="36:65"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5"/>
      <c r="BA56" s="32"/>
      <c r="BB56" s="55"/>
      <c r="BC56" s="55"/>
      <c r="BD56" s="32"/>
      <c r="BE56" s="32"/>
      <c r="BF56" s="58"/>
      <c r="BG56" s="32"/>
      <c r="BH56" s="56"/>
      <c r="BI56" s="56"/>
      <c r="BJ56" s="56"/>
      <c r="BK56" s="56"/>
      <c r="BL56" s="56"/>
      <c r="BM56" s="56"/>
    </row>
    <row r="57" spans="36:65"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5"/>
      <c r="BA57" s="32"/>
      <c r="BB57" s="55"/>
      <c r="BC57" s="55"/>
      <c r="BD57" s="32"/>
      <c r="BE57" s="32"/>
      <c r="BF57" s="58"/>
      <c r="BG57" s="32"/>
      <c r="BH57" s="56"/>
      <c r="BI57" s="56"/>
      <c r="BJ57" s="56"/>
      <c r="BK57" s="56"/>
      <c r="BL57" s="56"/>
      <c r="BM57" s="56"/>
    </row>
    <row r="58" spans="36:65"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5"/>
      <c r="BA58" s="32"/>
      <c r="BB58" s="55"/>
      <c r="BC58" s="55"/>
      <c r="BD58" s="32"/>
      <c r="BE58" s="32"/>
      <c r="BF58" s="58"/>
      <c r="BG58" s="32"/>
      <c r="BH58" s="56"/>
      <c r="BI58" s="56"/>
      <c r="BJ58" s="56"/>
      <c r="BK58" s="56"/>
      <c r="BL58" s="56"/>
      <c r="BM58" s="56"/>
    </row>
    <row r="59" spans="36:65"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5"/>
      <c r="BA59" s="32"/>
      <c r="BB59" s="55"/>
      <c r="BC59" s="55"/>
      <c r="BD59" s="32"/>
      <c r="BE59" s="32"/>
      <c r="BF59" s="58"/>
      <c r="BG59" s="32"/>
      <c r="BH59" s="56"/>
      <c r="BI59" s="56"/>
      <c r="BJ59" s="56"/>
      <c r="BK59" s="56"/>
      <c r="BL59" s="56"/>
      <c r="BM59" s="56"/>
    </row>
    <row r="60" spans="36:65"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5"/>
      <c r="BA60" s="32"/>
      <c r="BB60" s="55"/>
      <c r="BC60" s="55"/>
      <c r="BD60" s="32"/>
      <c r="BE60" s="32"/>
      <c r="BF60" s="58"/>
      <c r="BG60" s="32"/>
      <c r="BH60" s="56"/>
      <c r="BI60" s="56"/>
      <c r="BJ60" s="56"/>
      <c r="BK60" s="56"/>
      <c r="BL60" s="56"/>
      <c r="BM60" s="56"/>
    </row>
    <row r="61" spans="36:65"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55"/>
      <c r="BA61" s="32"/>
      <c r="BB61" s="55"/>
      <c r="BC61" s="55"/>
      <c r="BD61" s="32"/>
      <c r="BE61" s="32"/>
      <c r="BF61" s="58"/>
      <c r="BG61" s="32"/>
      <c r="BH61" s="56"/>
      <c r="BI61" s="56"/>
      <c r="BJ61" s="56"/>
      <c r="BK61" s="56"/>
      <c r="BL61" s="56"/>
      <c r="BM61" s="56"/>
    </row>
    <row r="62" spans="36:65"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55"/>
      <c r="BA62" s="32"/>
      <c r="BB62" s="55"/>
      <c r="BC62" s="55"/>
      <c r="BD62" s="32"/>
      <c r="BE62" s="32"/>
      <c r="BF62" s="58"/>
      <c r="BG62" s="32"/>
      <c r="BH62" s="56"/>
      <c r="BI62" s="56"/>
      <c r="BJ62" s="56"/>
      <c r="BK62" s="56"/>
      <c r="BL62" s="56"/>
      <c r="BM62" s="56"/>
    </row>
    <row r="63" spans="36:65"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55"/>
      <c r="BA63" s="32"/>
      <c r="BB63" s="55"/>
      <c r="BC63" s="55"/>
      <c r="BD63" s="32"/>
      <c r="BE63" s="32"/>
      <c r="BF63" s="58"/>
      <c r="BG63" s="32"/>
      <c r="BH63" s="56"/>
      <c r="BI63" s="56"/>
      <c r="BJ63" s="56"/>
      <c r="BK63" s="56"/>
      <c r="BL63" s="56"/>
      <c r="BM63" s="56"/>
    </row>
    <row r="64" spans="36:65"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55"/>
      <c r="BA64" s="32"/>
      <c r="BB64" s="55"/>
      <c r="BC64" s="55"/>
      <c r="BD64" s="32"/>
      <c r="BE64" s="32"/>
      <c r="BF64" s="58"/>
      <c r="BG64" s="32"/>
      <c r="BH64" s="56"/>
      <c r="BI64" s="56"/>
      <c r="BJ64" s="56"/>
      <c r="BK64" s="56"/>
      <c r="BL64" s="56"/>
      <c r="BM64" s="56"/>
    </row>
    <row r="65" spans="36:65"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55"/>
      <c r="BA65" s="32"/>
      <c r="BB65" s="55"/>
      <c r="BC65" s="55"/>
      <c r="BD65" s="32"/>
      <c r="BE65" s="32"/>
      <c r="BF65" s="58"/>
      <c r="BG65" s="32"/>
      <c r="BH65" s="56"/>
      <c r="BI65" s="56"/>
      <c r="BJ65" s="56"/>
      <c r="BK65" s="56"/>
      <c r="BL65" s="56"/>
      <c r="BM65" s="56"/>
    </row>
    <row r="66" spans="36:65"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55"/>
      <c r="BA66" s="32"/>
      <c r="BB66" s="55"/>
      <c r="BC66" s="55"/>
      <c r="BD66" s="32"/>
      <c r="BE66" s="32"/>
      <c r="BF66" s="58"/>
      <c r="BG66" s="32"/>
      <c r="BH66" s="56"/>
      <c r="BI66" s="56"/>
      <c r="BJ66" s="56"/>
      <c r="BK66" s="56"/>
      <c r="BL66" s="56"/>
      <c r="BM66" s="56"/>
    </row>
    <row r="67" spans="36:65"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55"/>
      <c r="BA67" s="32"/>
      <c r="BB67" s="55"/>
      <c r="BC67" s="55"/>
      <c r="BD67" s="32"/>
      <c r="BE67" s="32"/>
      <c r="BF67" s="58"/>
      <c r="BG67" s="32"/>
      <c r="BH67" s="56"/>
      <c r="BI67" s="56"/>
      <c r="BJ67" s="56"/>
      <c r="BK67" s="56"/>
      <c r="BL67" s="56"/>
      <c r="BM67" s="56"/>
    </row>
    <row r="68" spans="36:65"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55"/>
      <c r="BA68" s="32"/>
      <c r="BB68" s="55"/>
      <c r="BC68" s="55"/>
      <c r="BD68" s="32"/>
      <c r="BE68" s="32"/>
      <c r="BF68" s="58"/>
      <c r="BG68" s="32"/>
      <c r="BH68" s="56"/>
      <c r="BI68" s="56"/>
      <c r="BJ68" s="56"/>
      <c r="BK68" s="56"/>
      <c r="BL68" s="56"/>
      <c r="BM68" s="56"/>
    </row>
    <row r="69" spans="36:65"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55"/>
      <c r="BA69" s="32"/>
      <c r="BB69" s="55"/>
      <c r="BC69" s="55"/>
      <c r="BD69" s="32"/>
      <c r="BE69" s="32"/>
      <c r="BF69" s="58"/>
      <c r="BG69" s="32"/>
      <c r="BH69" s="56"/>
      <c r="BI69" s="56"/>
      <c r="BJ69" s="56"/>
      <c r="BK69" s="56"/>
      <c r="BL69" s="56"/>
      <c r="BM69" s="56"/>
    </row>
    <row r="70" spans="36:65"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55"/>
      <c r="BA70" s="32"/>
      <c r="BB70" s="55"/>
      <c r="BC70" s="55"/>
      <c r="BD70" s="32"/>
      <c r="BE70" s="32"/>
      <c r="BF70" s="58"/>
      <c r="BG70" s="32"/>
      <c r="BH70" s="56"/>
      <c r="BI70" s="56"/>
      <c r="BJ70" s="56"/>
      <c r="BK70" s="56"/>
      <c r="BL70" s="56"/>
      <c r="BM70" s="56"/>
    </row>
    <row r="71" spans="36:65"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55"/>
      <c r="BA71" s="32"/>
      <c r="BB71" s="55"/>
      <c r="BC71" s="55"/>
      <c r="BD71" s="32"/>
      <c r="BE71" s="32"/>
      <c r="BF71" s="58"/>
      <c r="BG71" s="32"/>
      <c r="BH71" s="56"/>
      <c r="BI71" s="56"/>
      <c r="BJ71" s="56"/>
      <c r="BK71" s="56"/>
      <c r="BL71" s="56"/>
      <c r="BM71" s="56"/>
    </row>
    <row r="72" spans="36:65"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55"/>
      <c r="BA72" s="32"/>
      <c r="BB72" s="55"/>
      <c r="BC72" s="55"/>
      <c r="BD72" s="32"/>
      <c r="BE72" s="32"/>
      <c r="BF72" s="58"/>
      <c r="BG72" s="32"/>
      <c r="BH72" s="56"/>
      <c r="BI72" s="56"/>
      <c r="BJ72" s="56"/>
      <c r="BK72" s="56"/>
      <c r="BL72" s="56"/>
      <c r="BM72" s="56"/>
    </row>
    <row r="73" spans="36:65"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55"/>
      <c r="BA73" s="32"/>
      <c r="BB73" s="55"/>
      <c r="BC73" s="55"/>
      <c r="BD73" s="32"/>
      <c r="BE73" s="32"/>
      <c r="BF73" s="58"/>
      <c r="BG73" s="32"/>
      <c r="BH73" s="56"/>
      <c r="BI73" s="56"/>
      <c r="BJ73" s="56"/>
      <c r="BK73" s="56"/>
      <c r="BL73" s="56"/>
      <c r="BM73" s="56"/>
    </row>
  </sheetData>
  <mergeCells count="46">
    <mergeCell ref="H6:S6"/>
    <mergeCell ref="AW6:BA6"/>
    <mergeCell ref="AW12:BA12"/>
    <mergeCell ref="AK19:AP20"/>
    <mergeCell ref="AW1:BA1"/>
    <mergeCell ref="AW2:BA2"/>
    <mergeCell ref="AW3:BA3"/>
    <mergeCell ref="AW4:BA4"/>
    <mergeCell ref="AW5:BA5"/>
    <mergeCell ref="AW7:BA7"/>
    <mergeCell ref="AW8:BA8"/>
    <mergeCell ref="AW9:BA9"/>
    <mergeCell ref="AW10:BA10"/>
    <mergeCell ref="AW11:BA11"/>
    <mergeCell ref="AW13:BA13"/>
    <mergeCell ref="P19:R19"/>
    <mergeCell ref="B19:B21"/>
    <mergeCell ref="D19:D21"/>
    <mergeCell ref="E19:E21"/>
    <mergeCell ref="F19:F21"/>
    <mergeCell ref="N19:O20"/>
    <mergeCell ref="AI21:AJ21"/>
    <mergeCell ref="X19:X22"/>
    <mergeCell ref="Y19:AB19"/>
    <mergeCell ref="AE19:AJ20"/>
    <mergeCell ref="BF19:BF21"/>
    <mergeCell ref="AO21:AP21"/>
    <mergeCell ref="AQ21:AR21"/>
    <mergeCell ref="AS21:AT21"/>
    <mergeCell ref="AU21:AV21"/>
    <mergeCell ref="BG19:BG22"/>
    <mergeCell ref="P20:P21"/>
    <mergeCell ref="Q20:Q21"/>
    <mergeCell ref="R20:R21"/>
    <mergeCell ref="AE21:AF21"/>
    <mergeCell ref="AG21:AH21"/>
    <mergeCell ref="BC19:BC23"/>
    <mergeCell ref="BD19:BD22"/>
    <mergeCell ref="BE19:BE22"/>
    <mergeCell ref="AQ19:AV20"/>
    <mergeCell ref="AW19:BB20"/>
    <mergeCell ref="AK21:AL21"/>
    <mergeCell ref="AM21:AN21"/>
    <mergeCell ref="AW21:AX21"/>
    <mergeCell ref="AY21:AZ21"/>
    <mergeCell ref="BA21:B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 enableFormatConditionsCalculation="0">
    <tabColor rgb="FFC00000"/>
  </sheetPr>
  <dimension ref="A2:BJ71"/>
  <sheetViews>
    <sheetView topLeftCell="A4" zoomScale="145" workbookViewId="0">
      <selection activeCell="E20" sqref="E20"/>
    </sheetView>
  </sheetViews>
  <sheetFormatPr defaultColWidth="8.85546875" defaultRowHeight="9.75"/>
  <cols>
    <col min="1" max="1" width="2.7109375" style="125" customWidth="1"/>
    <col min="2" max="2" width="23.42578125" style="125" customWidth="1"/>
    <col min="3" max="3" width="8.42578125" style="125" customWidth="1"/>
    <col min="4" max="4" width="13.140625" style="125" customWidth="1"/>
    <col min="5" max="5" width="4.42578125" style="125" customWidth="1"/>
    <col min="6" max="6" width="2.28515625" style="125" customWidth="1"/>
    <col min="7" max="7" width="5.5703125" style="125" customWidth="1"/>
    <col min="8" max="8" width="5" style="128" customWidth="1"/>
    <col min="9" max="9" width="4" style="128" customWidth="1"/>
    <col min="10" max="10" width="5.42578125" style="128" customWidth="1"/>
    <col min="11" max="11" width="4" style="134" customWidth="1"/>
    <col min="12" max="12" width="5.140625" style="128" customWidth="1"/>
    <col min="13" max="13" width="3.28515625" style="128" customWidth="1"/>
    <col min="14" max="14" width="4.140625" style="128" customWidth="1"/>
    <col min="15" max="16" width="3.85546875" style="128" customWidth="1"/>
    <col min="17" max="17" width="4.85546875" style="128" customWidth="1"/>
    <col min="18" max="18" width="5.5703125" style="128" customWidth="1"/>
    <col min="19" max="19" width="5.42578125" style="128" customWidth="1"/>
    <col min="20" max="20" width="5.85546875" style="128" customWidth="1"/>
    <col min="21" max="21" width="5.5703125" style="128" customWidth="1"/>
    <col min="22" max="22" width="3.85546875" style="128" customWidth="1"/>
    <col min="23" max="23" width="4.140625" style="128" customWidth="1"/>
    <col min="24" max="24" width="6.7109375" style="128" customWidth="1"/>
    <col min="25" max="26" width="4.42578125" style="128" customWidth="1"/>
    <col min="27" max="27" width="4.28515625" style="128" customWidth="1"/>
    <col min="28" max="28" width="4" style="128" customWidth="1"/>
    <col min="29" max="29" width="4.42578125" style="128" customWidth="1"/>
    <col min="30" max="30" width="3.5703125" style="128" customWidth="1"/>
    <col min="31" max="31" width="4.42578125" style="128" customWidth="1"/>
    <col min="32" max="32" width="3.85546875" style="128" customWidth="1"/>
    <col min="33" max="33" width="4.28515625" style="128" customWidth="1"/>
    <col min="34" max="34" width="4" style="128" customWidth="1"/>
    <col min="35" max="35" width="4.28515625" style="128" customWidth="1"/>
    <col min="36" max="36" width="4.42578125" style="128" customWidth="1"/>
    <col min="37" max="37" width="4.140625" style="128" customWidth="1"/>
    <col min="38" max="38" width="4.42578125" style="128" customWidth="1"/>
    <col min="39" max="39" width="4.140625" style="128" customWidth="1"/>
    <col min="40" max="40" width="3.28515625" style="128" customWidth="1"/>
    <col min="41" max="42" width="3.7109375" style="128" customWidth="1"/>
    <col min="43" max="43" width="4.28515625" style="128" customWidth="1"/>
    <col min="44" max="44" width="3.42578125" style="128" customWidth="1"/>
    <col min="45" max="45" width="4.42578125" style="128" customWidth="1"/>
    <col min="46" max="46" width="4" style="128" customWidth="1"/>
    <col min="47" max="47" width="4.7109375" style="128" customWidth="1"/>
    <col min="48" max="48" width="5" style="128" customWidth="1"/>
    <col min="49" max="50" width="4.42578125" style="128" customWidth="1"/>
    <col min="51" max="52" width="4.7109375" style="128" customWidth="1"/>
    <col min="53" max="53" width="5.7109375" style="128" customWidth="1"/>
    <col min="54" max="54" width="5.85546875" style="552" customWidth="1"/>
    <col min="55" max="55" width="5.28515625" style="128" customWidth="1"/>
    <col min="56" max="56" width="5.140625" style="128" customWidth="1"/>
    <col min="57" max="57" width="5.5703125" style="128" customWidth="1"/>
    <col min="58" max="59" width="7" style="128" customWidth="1"/>
    <col min="60" max="16384" width="8.85546875" style="128"/>
  </cols>
  <sheetData>
    <row r="2" spans="1:62" ht="15" customHeight="1">
      <c r="B2" s="126" t="s">
        <v>258</v>
      </c>
      <c r="E2" s="126" t="s">
        <v>14</v>
      </c>
      <c r="F2" s="126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S2" s="1125" t="s">
        <v>305</v>
      </c>
      <c r="AT2" s="1125"/>
      <c r="AU2" s="1125"/>
      <c r="AV2" s="1125"/>
      <c r="AW2" s="1125"/>
      <c r="AX2" s="1125"/>
      <c r="AY2" s="130">
        <v>0</v>
      </c>
      <c r="AZ2" s="130"/>
      <c r="BA2" s="130"/>
      <c r="BB2" s="547"/>
      <c r="BC2" s="131" t="s">
        <v>306</v>
      </c>
      <c r="BD2" s="131" t="s">
        <v>307</v>
      </c>
      <c r="BE2" s="131" t="s">
        <v>308</v>
      </c>
      <c r="BF2" s="130" t="s">
        <v>309</v>
      </c>
      <c r="BG2" s="132"/>
    </row>
    <row r="3" spans="1:62" ht="15.75" customHeight="1">
      <c r="E3" s="126"/>
      <c r="F3" s="126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S3" s="1125" t="s">
        <v>15</v>
      </c>
      <c r="AT3" s="1125"/>
      <c r="AU3" s="1125"/>
      <c r="AV3" s="1125"/>
      <c r="AW3" s="1125"/>
      <c r="AX3" s="1125"/>
      <c r="AY3" s="133">
        <v>1</v>
      </c>
      <c r="AZ3" s="133"/>
      <c r="BA3" s="133"/>
      <c r="BB3" s="548"/>
      <c r="BC3" s="130">
        <v>4</v>
      </c>
      <c r="BD3" s="130">
        <v>5</v>
      </c>
      <c r="BE3" s="130">
        <v>2</v>
      </c>
      <c r="BF3" s="130">
        <f>AY3+BC3+BD3+BE3</f>
        <v>12</v>
      </c>
      <c r="BG3" s="132"/>
    </row>
    <row r="4" spans="1:62" ht="12.75" customHeight="1">
      <c r="B4" s="125" t="s">
        <v>259</v>
      </c>
      <c r="H4" s="127" t="s">
        <v>7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S4" s="1125" t="s">
        <v>16</v>
      </c>
      <c r="AT4" s="1125"/>
      <c r="AU4" s="1125"/>
      <c r="AV4" s="1125"/>
      <c r="AW4" s="1125"/>
      <c r="AX4" s="1125"/>
      <c r="AY4" s="133">
        <v>1</v>
      </c>
      <c r="AZ4" s="133"/>
      <c r="BA4" s="133"/>
      <c r="BB4" s="548"/>
      <c r="BC4" s="130">
        <v>4</v>
      </c>
      <c r="BD4" s="130">
        <v>5</v>
      </c>
      <c r="BE4" s="130">
        <v>2</v>
      </c>
      <c r="BF4" s="130">
        <f>AY4+BC4+BD4+BE4</f>
        <v>12</v>
      </c>
      <c r="BG4" s="132"/>
    </row>
    <row r="5" spans="1:62" ht="12" customHeight="1">
      <c r="L5" s="135" t="s">
        <v>447</v>
      </c>
      <c r="AS5" s="1125" t="s">
        <v>17</v>
      </c>
      <c r="AT5" s="1125"/>
      <c r="AU5" s="1125"/>
      <c r="AV5" s="1125"/>
      <c r="AW5" s="1125"/>
      <c r="AX5" s="1125"/>
      <c r="AY5" s="133">
        <v>14</v>
      </c>
      <c r="AZ5" s="133"/>
      <c r="BA5" s="133"/>
      <c r="BB5" s="548"/>
      <c r="BC5" s="130">
        <v>47</v>
      </c>
      <c r="BD5" s="130">
        <v>46</v>
      </c>
      <c r="BE5" s="130">
        <v>16</v>
      </c>
      <c r="BF5" s="130">
        <f>AY5+BC5+BD5+BE5</f>
        <v>123</v>
      </c>
      <c r="BG5" s="132"/>
    </row>
    <row r="6" spans="1:62" ht="10.5" customHeight="1">
      <c r="B6" s="125" t="s">
        <v>455</v>
      </c>
      <c r="AS6" s="1125" t="s">
        <v>314</v>
      </c>
      <c r="AT6" s="1125"/>
      <c r="AU6" s="1125"/>
      <c r="AV6" s="1125"/>
      <c r="AW6" s="1125"/>
      <c r="AX6" s="1125"/>
      <c r="AY6" s="133"/>
      <c r="AZ6" s="133"/>
      <c r="BA6" s="133"/>
      <c r="BB6" s="548"/>
      <c r="BC6" s="130">
        <v>107</v>
      </c>
      <c r="BD6" s="130">
        <v>174</v>
      </c>
      <c r="BE6" s="130">
        <v>74</v>
      </c>
      <c r="BF6" s="130">
        <f>BC6+BD6+BE6</f>
        <v>355</v>
      </c>
      <c r="BG6" s="132"/>
    </row>
    <row r="7" spans="1:62" ht="12" customHeight="1">
      <c r="B7" s="125" t="s">
        <v>414</v>
      </c>
      <c r="AS7" s="1129" t="s">
        <v>395</v>
      </c>
      <c r="AT7" s="1129"/>
      <c r="AU7" s="1129"/>
      <c r="AV7" s="1129"/>
      <c r="AW7" s="1129"/>
      <c r="AX7" s="1129"/>
      <c r="AY7" s="130"/>
      <c r="AZ7" s="130"/>
      <c r="BA7" s="130"/>
      <c r="BB7" s="547"/>
      <c r="BC7" s="130"/>
      <c r="BD7" s="130"/>
      <c r="BE7" s="130"/>
      <c r="BF7" s="130">
        <f>AY7+BC7+BD7+BE7</f>
        <v>0</v>
      </c>
      <c r="BG7" s="132"/>
    </row>
    <row r="8" spans="1:62" ht="14.25" customHeight="1">
      <c r="AS8" s="1125" t="s">
        <v>316</v>
      </c>
      <c r="AT8" s="1125"/>
      <c r="AU8" s="1125"/>
      <c r="AV8" s="1125"/>
      <c r="AW8" s="1125"/>
      <c r="AX8" s="1125"/>
      <c r="AY8" s="133"/>
      <c r="AZ8" s="133"/>
      <c r="BA8" s="133"/>
      <c r="BB8" s="548"/>
      <c r="BC8" s="130">
        <v>107</v>
      </c>
      <c r="BD8" s="130">
        <v>174</v>
      </c>
      <c r="BE8" s="130">
        <v>74</v>
      </c>
      <c r="BF8" s="130">
        <f>AY8+BC8+BD8+BE8</f>
        <v>355</v>
      </c>
      <c r="BG8" s="132"/>
    </row>
    <row r="9" spans="1:62" ht="12" customHeight="1">
      <c r="A9" s="137" t="s">
        <v>265</v>
      </c>
      <c r="B9" s="138" t="s">
        <v>478</v>
      </c>
      <c r="C9" s="138" t="s">
        <v>396</v>
      </c>
      <c r="D9" s="138" t="s">
        <v>8</v>
      </c>
      <c r="E9" s="138" t="s">
        <v>329</v>
      </c>
      <c r="F9" s="138" t="s">
        <v>277</v>
      </c>
      <c r="G9" s="139" t="s">
        <v>269</v>
      </c>
      <c r="H9" s="140" t="s">
        <v>270</v>
      </c>
      <c r="I9" s="141" t="s">
        <v>330</v>
      </c>
      <c r="J9" s="140"/>
      <c r="K9" s="142"/>
      <c r="L9" s="140" t="s">
        <v>271</v>
      </c>
      <c r="M9" s="143" t="s">
        <v>451</v>
      </c>
      <c r="N9" s="144"/>
      <c r="O9" s="145" t="s">
        <v>431</v>
      </c>
      <c r="P9" s="146"/>
      <c r="Q9" s="147"/>
      <c r="R9" s="328" t="s">
        <v>332</v>
      </c>
      <c r="S9" s="148"/>
      <c r="T9" s="149"/>
      <c r="U9" s="141" t="s">
        <v>18</v>
      </c>
      <c r="V9" s="150" t="s">
        <v>333</v>
      </c>
      <c r="W9" s="151"/>
      <c r="X9" s="151"/>
      <c r="Y9" s="152"/>
      <c r="Z9" s="151"/>
      <c r="AA9" s="151"/>
      <c r="AB9" s="153" t="s">
        <v>334</v>
      </c>
      <c r="AC9" s="153"/>
      <c r="AD9" s="153"/>
      <c r="AE9" s="153"/>
      <c r="AF9" s="153"/>
      <c r="AG9" s="153"/>
      <c r="AH9" s="1110" t="s">
        <v>443</v>
      </c>
      <c r="AI9" s="1111"/>
      <c r="AJ9" s="1111"/>
      <c r="AK9" s="1111"/>
      <c r="AL9" s="1111"/>
      <c r="AM9" s="1111"/>
      <c r="AN9" s="1119" t="s">
        <v>19</v>
      </c>
      <c r="AO9" s="1119"/>
      <c r="AP9" s="1119"/>
      <c r="AQ9" s="1119"/>
      <c r="AR9" s="1119"/>
      <c r="AS9" s="1119"/>
      <c r="AT9" s="1119" t="s">
        <v>336</v>
      </c>
      <c r="AU9" s="1119"/>
      <c r="AV9" s="1119"/>
      <c r="AW9" s="1119"/>
      <c r="AX9" s="1119"/>
      <c r="AY9" s="1119"/>
      <c r="AZ9" s="420"/>
      <c r="BA9" s="420"/>
      <c r="BB9" s="1130" t="s">
        <v>274</v>
      </c>
      <c r="BC9" s="1133" t="s">
        <v>20</v>
      </c>
      <c r="BD9" s="1126" t="s">
        <v>338</v>
      </c>
      <c r="BE9" s="1122" t="s">
        <v>21</v>
      </c>
      <c r="BF9" s="1116" t="s">
        <v>275</v>
      </c>
      <c r="BG9" s="1103" t="s">
        <v>150</v>
      </c>
    </row>
    <row r="10" spans="1:62" s="135" customFormat="1" ht="18.75">
      <c r="A10" s="453" t="s">
        <v>276</v>
      </c>
      <c r="B10" s="454"/>
      <c r="C10" s="454"/>
      <c r="D10" s="454"/>
      <c r="E10" s="454"/>
      <c r="F10" s="454"/>
      <c r="G10" s="455" t="s">
        <v>278</v>
      </c>
      <c r="H10" s="421" t="s">
        <v>279</v>
      </c>
      <c r="I10" s="456"/>
      <c r="J10" s="421" t="s">
        <v>398</v>
      </c>
      <c r="K10" s="160" t="s">
        <v>341</v>
      </c>
      <c r="L10" s="421" t="s">
        <v>280</v>
      </c>
      <c r="M10" s="419"/>
      <c r="N10" s="457"/>
      <c r="O10" s="458" t="s">
        <v>342</v>
      </c>
      <c r="P10" s="458" t="s">
        <v>343</v>
      </c>
      <c r="Q10" s="458" t="s">
        <v>344</v>
      </c>
      <c r="R10" s="458" t="s">
        <v>342</v>
      </c>
      <c r="S10" s="458" t="s">
        <v>343</v>
      </c>
      <c r="T10" s="458" t="s">
        <v>344</v>
      </c>
      <c r="U10" s="459"/>
      <c r="V10" s="164"/>
      <c r="W10" s="165"/>
      <c r="X10" s="165"/>
      <c r="Y10" s="166"/>
      <c r="Z10" s="165"/>
      <c r="AA10" s="165"/>
      <c r="AB10" s="460"/>
      <c r="AC10" s="460"/>
      <c r="AD10" s="460"/>
      <c r="AE10" s="460"/>
      <c r="AF10" s="460"/>
      <c r="AG10" s="460"/>
      <c r="AH10" s="1112"/>
      <c r="AI10" s="1113"/>
      <c r="AJ10" s="1113"/>
      <c r="AK10" s="1113"/>
      <c r="AL10" s="1113"/>
      <c r="AM10" s="1113"/>
      <c r="AN10" s="1119"/>
      <c r="AO10" s="1119"/>
      <c r="AP10" s="1119"/>
      <c r="AQ10" s="1119"/>
      <c r="AR10" s="1119"/>
      <c r="AS10" s="1119"/>
      <c r="AT10" s="1119"/>
      <c r="AU10" s="1119"/>
      <c r="AV10" s="1119"/>
      <c r="AW10" s="1119"/>
      <c r="AX10" s="1119"/>
      <c r="AY10" s="1119"/>
      <c r="AZ10" s="421"/>
      <c r="BA10" s="421"/>
      <c r="BB10" s="1131"/>
      <c r="BC10" s="1134"/>
      <c r="BD10" s="1127"/>
      <c r="BE10" s="1123"/>
      <c r="BF10" s="1117"/>
      <c r="BG10" s="1103"/>
    </row>
    <row r="11" spans="1:62" s="135" customFormat="1" ht="15.6" customHeight="1">
      <c r="A11" s="461"/>
      <c r="B11" s="462"/>
      <c r="C11" s="462"/>
      <c r="D11" s="462"/>
      <c r="E11" s="462"/>
      <c r="F11" s="462"/>
      <c r="G11" s="463" t="s">
        <v>283</v>
      </c>
      <c r="H11" s="418"/>
      <c r="I11" s="185"/>
      <c r="J11" s="418"/>
      <c r="K11" s="464"/>
      <c r="L11" s="418" t="s">
        <v>284</v>
      </c>
      <c r="M11" s="418">
        <v>18</v>
      </c>
      <c r="N11" s="418">
        <v>18</v>
      </c>
      <c r="O11" s="465"/>
      <c r="P11" s="465"/>
      <c r="Q11" s="465"/>
      <c r="R11" s="465"/>
      <c r="S11" s="465"/>
      <c r="T11" s="465"/>
      <c r="U11" s="466"/>
      <c r="V11" s="467">
        <v>0.1</v>
      </c>
      <c r="W11" s="467">
        <v>0.2</v>
      </c>
      <c r="X11" s="468">
        <v>0.125</v>
      </c>
      <c r="Y11" s="467">
        <v>0.25</v>
      </c>
      <c r="Z11" s="469">
        <v>0.15</v>
      </c>
      <c r="AA11" s="469">
        <v>0.3</v>
      </c>
      <c r="AB11" s="1107" t="s">
        <v>349</v>
      </c>
      <c r="AC11" s="1108"/>
      <c r="AD11" s="1107" t="s">
        <v>350</v>
      </c>
      <c r="AE11" s="1109"/>
      <c r="AF11" s="1107" t="s">
        <v>344</v>
      </c>
      <c r="AG11" s="1109"/>
      <c r="AH11" s="1114" t="s">
        <v>349</v>
      </c>
      <c r="AI11" s="1114"/>
      <c r="AJ11" s="1115" t="s">
        <v>350</v>
      </c>
      <c r="AK11" s="1115"/>
      <c r="AL11" s="1115" t="s">
        <v>344</v>
      </c>
      <c r="AM11" s="1115"/>
      <c r="AN11" s="1120" t="s">
        <v>347</v>
      </c>
      <c r="AO11" s="1121"/>
      <c r="AP11" s="1115" t="s">
        <v>350</v>
      </c>
      <c r="AQ11" s="1115"/>
      <c r="AR11" s="1115" t="s">
        <v>344</v>
      </c>
      <c r="AS11" s="1115"/>
      <c r="AT11" s="1114" t="s">
        <v>349</v>
      </c>
      <c r="AU11" s="1114"/>
      <c r="AV11" s="1115" t="s">
        <v>350</v>
      </c>
      <c r="AW11" s="1115"/>
      <c r="AX11" s="1115" t="s">
        <v>344</v>
      </c>
      <c r="AY11" s="1112"/>
      <c r="AZ11" s="422" t="s">
        <v>54</v>
      </c>
      <c r="BA11" s="422" t="s">
        <v>55</v>
      </c>
      <c r="BB11" s="1131"/>
      <c r="BC11" s="1134"/>
      <c r="BD11" s="1127"/>
      <c r="BE11" s="1124"/>
      <c r="BF11" s="1117"/>
      <c r="BG11" s="1103"/>
      <c r="BH11" s="470"/>
      <c r="BI11" s="470"/>
      <c r="BJ11" s="470"/>
    </row>
    <row r="12" spans="1:62" s="135" customFormat="1" ht="10.9" customHeight="1">
      <c r="A12" s="471"/>
      <c r="B12" s="471">
        <v>1</v>
      </c>
      <c r="C12" s="471">
        <v>2</v>
      </c>
      <c r="D12" s="471"/>
      <c r="E12" s="471">
        <v>3</v>
      </c>
      <c r="F12" s="461"/>
      <c r="G12" s="461">
        <v>5</v>
      </c>
      <c r="H12" s="154">
        <v>6</v>
      </c>
      <c r="I12" s="154"/>
      <c r="J12" s="154"/>
      <c r="K12" s="472"/>
      <c r="L12" s="154">
        <v>7</v>
      </c>
      <c r="M12" s="154"/>
      <c r="N12" s="154"/>
      <c r="O12" s="154">
        <v>8</v>
      </c>
      <c r="P12" s="154">
        <v>9</v>
      </c>
      <c r="Q12" s="154">
        <v>10</v>
      </c>
      <c r="R12" s="154">
        <v>11</v>
      </c>
      <c r="S12" s="154">
        <v>12</v>
      </c>
      <c r="T12" s="154">
        <v>13</v>
      </c>
      <c r="U12" s="418"/>
      <c r="V12" s="166"/>
      <c r="W12" s="166"/>
      <c r="X12" s="166"/>
      <c r="Y12" s="166"/>
      <c r="Z12" s="166"/>
      <c r="AA12" s="166"/>
      <c r="AB12" s="469">
        <v>0.5</v>
      </c>
      <c r="AC12" s="467">
        <v>1</v>
      </c>
      <c r="AD12" s="467">
        <v>0.5</v>
      </c>
      <c r="AE12" s="467">
        <v>1</v>
      </c>
      <c r="AF12" s="467">
        <v>0.5</v>
      </c>
      <c r="AG12" s="467">
        <v>1</v>
      </c>
      <c r="AH12" s="467">
        <v>0.5</v>
      </c>
      <c r="AI12" s="467">
        <v>1</v>
      </c>
      <c r="AJ12" s="467">
        <v>0.5</v>
      </c>
      <c r="AK12" s="467">
        <v>1</v>
      </c>
      <c r="AL12" s="467">
        <v>0.5</v>
      </c>
      <c r="AM12" s="467">
        <v>1</v>
      </c>
      <c r="AN12" s="473" t="s">
        <v>351</v>
      </c>
      <c r="AO12" s="473" t="s">
        <v>352</v>
      </c>
      <c r="AP12" s="473" t="s">
        <v>351</v>
      </c>
      <c r="AQ12" s="473" t="s">
        <v>352</v>
      </c>
      <c r="AR12" s="473" t="s">
        <v>351</v>
      </c>
      <c r="AS12" s="473" t="s">
        <v>352</v>
      </c>
      <c r="AT12" s="467">
        <v>0.5</v>
      </c>
      <c r="AU12" s="467">
        <v>1</v>
      </c>
      <c r="AV12" s="467">
        <v>0.5</v>
      </c>
      <c r="AW12" s="467">
        <v>1</v>
      </c>
      <c r="AX12" s="467">
        <v>0.5</v>
      </c>
      <c r="AY12" s="474">
        <v>1</v>
      </c>
      <c r="AZ12" s="475"/>
      <c r="BA12" s="475"/>
      <c r="BB12" s="1131"/>
      <c r="BC12" s="1135"/>
      <c r="BD12" s="1128"/>
      <c r="BE12" s="473" t="s">
        <v>352</v>
      </c>
      <c r="BF12" s="1118"/>
      <c r="BG12" s="1103"/>
      <c r="BH12" s="470"/>
      <c r="BI12" s="470"/>
      <c r="BJ12" s="470"/>
    </row>
    <row r="13" spans="1:62" s="193" customFormat="1" ht="9.75" hidden="1" customHeight="1">
      <c r="A13" s="181"/>
      <c r="B13" s="137" t="s">
        <v>285</v>
      </c>
      <c r="C13" s="137" t="s">
        <v>285</v>
      </c>
      <c r="D13" s="137"/>
      <c r="E13" s="137"/>
      <c r="F13" s="129"/>
      <c r="G13" s="137"/>
      <c r="H13" s="140"/>
      <c r="I13" s="140"/>
      <c r="J13" s="136">
        <v>6600</v>
      </c>
      <c r="K13" s="179"/>
      <c r="L13" s="136">
        <v>11937</v>
      </c>
      <c r="M13" s="182">
        <v>18</v>
      </c>
      <c r="N13" s="132">
        <v>20</v>
      </c>
      <c r="O13" s="140">
        <v>2</v>
      </c>
      <c r="P13" s="158">
        <v>10</v>
      </c>
      <c r="Q13" s="144">
        <v>4</v>
      </c>
      <c r="R13" s="183">
        <f>L13/N13*O13</f>
        <v>1193.7</v>
      </c>
      <c r="S13" s="184">
        <f>L13/M13*P13</f>
        <v>6631.6666666666661</v>
      </c>
      <c r="T13" s="183">
        <f>L13/M13*Q13</f>
        <v>2652.6666666666665</v>
      </c>
      <c r="U13" s="185"/>
      <c r="V13" s="176">
        <v>0.1</v>
      </c>
      <c r="W13" s="176">
        <v>0.2</v>
      </c>
      <c r="X13" s="177">
        <v>0.125</v>
      </c>
      <c r="Y13" s="176">
        <v>0.25</v>
      </c>
      <c r="Z13" s="178">
        <v>0.15</v>
      </c>
      <c r="AA13" s="178">
        <v>0.3</v>
      </c>
      <c r="AB13" s="186"/>
      <c r="AC13" s="187"/>
      <c r="AD13" s="188">
        <v>1</v>
      </c>
      <c r="AE13" s="188">
        <v>1</v>
      </c>
      <c r="AF13" s="188">
        <v>1</v>
      </c>
      <c r="AG13" s="188">
        <v>1</v>
      </c>
      <c r="AH13" s="189">
        <f>J13*V13</f>
        <v>660</v>
      </c>
      <c r="AI13" s="189">
        <f>J13*W13</f>
        <v>1320</v>
      </c>
      <c r="AJ13" s="188">
        <f>J13*V13/M13*AD13</f>
        <v>36.666666666666664</v>
      </c>
      <c r="AK13" s="188">
        <f>J13*W13/M13*AE13</f>
        <v>73.333333333333329</v>
      </c>
      <c r="AL13" s="190">
        <f>J13*V13/M13*AF13</f>
        <v>36.666666666666664</v>
      </c>
      <c r="AM13" s="188">
        <f>J13*W13/M13*AG13</f>
        <v>73.333333333333329</v>
      </c>
      <c r="AN13" s="182"/>
      <c r="AO13" s="188"/>
      <c r="AP13" s="182"/>
      <c r="AQ13" s="191"/>
      <c r="AR13" s="130"/>
      <c r="AS13" s="191"/>
      <c r="AT13" s="130"/>
      <c r="AU13" s="192"/>
      <c r="AV13" s="182"/>
      <c r="AW13" s="192"/>
      <c r="AX13" s="182"/>
      <c r="AY13" s="130"/>
      <c r="AZ13" s="174"/>
      <c r="BA13" s="174"/>
      <c r="BB13" s="1132"/>
      <c r="BC13" s="136"/>
      <c r="BD13" s="136"/>
      <c r="BE13" s="130"/>
      <c r="BF13" s="172"/>
      <c r="BG13" s="172"/>
      <c r="BH13" s="201"/>
      <c r="BI13" s="201"/>
      <c r="BJ13" s="201"/>
    </row>
    <row r="14" spans="1:62" s="193" customFormat="1" ht="9.75" hidden="1" customHeight="1">
      <c r="A14" s="181"/>
      <c r="B14" s="137" t="s">
        <v>286</v>
      </c>
      <c r="C14" s="137" t="s">
        <v>286</v>
      </c>
      <c r="D14" s="137"/>
      <c r="E14" s="137"/>
      <c r="F14" s="129"/>
      <c r="G14" s="137"/>
      <c r="H14" s="140"/>
      <c r="I14" s="140"/>
      <c r="J14" s="136">
        <v>6600</v>
      </c>
      <c r="K14" s="179"/>
      <c r="L14" s="136">
        <v>11937</v>
      </c>
      <c r="M14" s="182">
        <v>18</v>
      </c>
      <c r="N14" s="192">
        <v>20</v>
      </c>
      <c r="O14" s="140">
        <v>4</v>
      </c>
      <c r="P14" s="158">
        <v>6</v>
      </c>
      <c r="Q14" s="144">
        <v>8</v>
      </c>
      <c r="R14" s="183">
        <f>L14/N14*O14</f>
        <v>2387.4</v>
      </c>
      <c r="S14" s="184">
        <f>L14/M14*P14</f>
        <v>3979</v>
      </c>
      <c r="T14" s="183">
        <f>L14/M14*Q14</f>
        <v>5305.333333333333</v>
      </c>
      <c r="U14" s="185"/>
      <c r="V14" s="176">
        <v>0.1</v>
      </c>
      <c r="W14" s="176">
        <v>0.2</v>
      </c>
      <c r="X14" s="177">
        <v>0.125</v>
      </c>
      <c r="Y14" s="176">
        <v>0.25</v>
      </c>
      <c r="Z14" s="178">
        <v>0.15</v>
      </c>
      <c r="AA14" s="178">
        <v>0.3</v>
      </c>
      <c r="AB14" s="186">
        <v>1</v>
      </c>
      <c r="AC14" s="187">
        <v>1</v>
      </c>
      <c r="AD14" s="188">
        <v>1</v>
      </c>
      <c r="AE14" s="188">
        <v>1</v>
      </c>
      <c r="AF14" s="188">
        <v>1</v>
      </c>
      <c r="AG14" s="188">
        <v>1</v>
      </c>
      <c r="AH14" s="190">
        <f>J14*X14/N14*AB14</f>
        <v>41.25</v>
      </c>
      <c r="AI14" s="188">
        <f>J14*Y14/N14*AC14</f>
        <v>82.5</v>
      </c>
      <c r="AJ14" s="188">
        <f>J14*X14/M14*AD14</f>
        <v>45.833333333333336</v>
      </c>
      <c r="AK14" s="188">
        <f>J14*Y14/M14*AE14</f>
        <v>91.666666666666671</v>
      </c>
      <c r="AL14" s="190">
        <f>J14*X14/M14*AF14</f>
        <v>45.833333333333336</v>
      </c>
      <c r="AM14" s="188">
        <f>J14*Y14/M14*AG14</f>
        <v>91.666666666666671</v>
      </c>
      <c r="AN14" s="182">
        <v>1</v>
      </c>
      <c r="AO14" s="188">
        <f>J14*Y14/N14*AN14</f>
        <v>82.5</v>
      </c>
      <c r="AP14" s="182">
        <v>1</v>
      </c>
      <c r="AQ14" s="191">
        <f>J14*Y14/M14*AP14</f>
        <v>91.666666666666671</v>
      </c>
      <c r="AR14" s="130">
        <v>1</v>
      </c>
      <c r="AS14" s="191">
        <f>J14*Y14/M14*AR14</f>
        <v>91.666666666666671</v>
      </c>
      <c r="AT14" s="130">
        <f>J14*X13</f>
        <v>825</v>
      </c>
      <c r="AU14" s="194">
        <f>J14*Y13</f>
        <v>1650</v>
      </c>
      <c r="AV14" s="191">
        <f>J14*Z14</f>
        <v>990</v>
      </c>
      <c r="AW14" s="194">
        <f>J14*AA14</f>
        <v>1980</v>
      </c>
      <c r="AX14" s="130">
        <f>J14*Z14</f>
        <v>990</v>
      </c>
      <c r="AY14" s="130">
        <f>J14*AA14</f>
        <v>1980</v>
      </c>
      <c r="AZ14" s="130"/>
      <c r="BA14" s="130"/>
      <c r="BB14" s="547"/>
      <c r="BC14" s="154"/>
      <c r="BD14" s="136">
        <f>J14*W14</f>
        <v>1320</v>
      </c>
      <c r="BE14" s="130"/>
      <c r="BF14" s="185"/>
      <c r="BG14" s="185"/>
      <c r="BH14" s="201"/>
      <c r="BI14" s="201"/>
      <c r="BJ14" s="201"/>
    </row>
    <row r="15" spans="1:62" ht="9.75" customHeight="1">
      <c r="A15" s="538">
        <v>1</v>
      </c>
      <c r="B15" s="129" t="s">
        <v>568</v>
      </c>
      <c r="C15" s="129" t="s">
        <v>450</v>
      </c>
      <c r="D15" s="195" t="s">
        <v>569</v>
      </c>
      <c r="E15" s="129" t="s">
        <v>288</v>
      </c>
      <c r="F15" s="129">
        <v>9</v>
      </c>
      <c r="G15" s="129" t="s">
        <v>0</v>
      </c>
      <c r="H15" s="130" t="s">
        <v>300</v>
      </c>
      <c r="I15" s="196"/>
      <c r="J15" s="130">
        <v>17697</v>
      </c>
      <c r="K15" s="176"/>
      <c r="L15" s="191">
        <v>44066</v>
      </c>
      <c r="M15" s="130">
        <v>18</v>
      </c>
      <c r="N15" s="130">
        <v>18</v>
      </c>
      <c r="O15" s="136"/>
      <c r="P15" s="130">
        <v>12.5</v>
      </c>
      <c r="Q15" s="130">
        <v>6</v>
      </c>
      <c r="R15" s="189">
        <f>L15/M15*O15</f>
        <v>0</v>
      </c>
      <c r="S15" s="191">
        <f>L15/M15*P15</f>
        <v>30601.388888888891</v>
      </c>
      <c r="T15" s="191">
        <f>L15/M15*Q15</f>
        <v>14688.666666666668</v>
      </c>
      <c r="U15" s="191">
        <f>(R15+S15+T15)*25%</f>
        <v>11322.513888888891</v>
      </c>
      <c r="V15" s="176">
        <v>0.1</v>
      </c>
      <c r="W15" s="176">
        <v>0.2</v>
      </c>
      <c r="X15" s="177">
        <v>0.125</v>
      </c>
      <c r="Y15" s="176">
        <v>0.25</v>
      </c>
      <c r="Z15" s="178">
        <v>0.15</v>
      </c>
      <c r="AA15" s="178">
        <v>0.3</v>
      </c>
      <c r="AB15" s="130"/>
      <c r="AC15" s="130"/>
      <c r="AD15" s="130"/>
      <c r="AE15" s="130"/>
      <c r="AF15" s="130"/>
      <c r="AG15" s="130"/>
      <c r="AH15" s="130"/>
      <c r="AI15" s="130"/>
      <c r="AJ15" s="191">
        <f>J15*V15/M15*AD15</f>
        <v>0</v>
      </c>
      <c r="AK15" s="130"/>
      <c r="AL15" s="191">
        <f>J15*V15/M15*AF15</f>
        <v>0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>
        <v>2655</v>
      </c>
      <c r="AW15" s="130"/>
      <c r="AX15" s="130"/>
      <c r="AY15" s="130"/>
      <c r="AZ15" s="130"/>
      <c r="BA15" s="130"/>
      <c r="BB15" s="549">
        <f>(J15*K15)/18*(O15+P15+Q15)</f>
        <v>0</v>
      </c>
      <c r="BC15" s="191"/>
      <c r="BD15" s="130">
        <v>3539</v>
      </c>
      <c r="BE15" s="191"/>
      <c r="BF15" s="191">
        <f t="shared" ref="BF15:BF20" si="0">R15+S15+T15+U15+AH15++AI15+AJ15+AK15+AL15+AM15+AO15+AQ15+AS15+AT15+AU15+AV15+AW15+AX15+AY15+BC15+BD15+BE15+BB15</f>
        <v>62806.569444444453</v>
      </c>
      <c r="BG15" s="191">
        <f>S15+T15+U15+V15+AI15++AJ15+AK15+AL15+AM15+AN15+AP15+AR15+AT15+AU15+AV15+AW15+AX15+AY15+BA15+BD15+BE15+BC15</f>
        <v>62806.669444444451</v>
      </c>
      <c r="BH15" s="204">
        <f>BF15-BG15</f>
        <v>-9.9999999998544808E-2</v>
      </c>
      <c r="BI15" s="415"/>
      <c r="BJ15" s="132"/>
    </row>
    <row r="16" spans="1:62" ht="9.75" customHeight="1">
      <c r="A16" s="538">
        <v>2</v>
      </c>
      <c r="B16" s="129" t="s">
        <v>10</v>
      </c>
      <c r="C16" s="129" t="s">
        <v>85</v>
      </c>
      <c r="D16" s="195" t="s">
        <v>22</v>
      </c>
      <c r="E16" s="129" t="s">
        <v>288</v>
      </c>
      <c r="F16" s="129">
        <v>9</v>
      </c>
      <c r="G16" s="129" t="s">
        <v>244</v>
      </c>
      <c r="H16" s="130" t="s">
        <v>300</v>
      </c>
      <c r="I16" s="196">
        <f t="shared" ref="I16:I44" si="1">(O16/18)+(P16+Q16)/18</f>
        <v>0.1111111111111111</v>
      </c>
      <c r="J16" s="130">
        <v>17697</v>
      </c>
      <c r="K16" s="176"/>
      <c r="L16" s="191">
        <f t="shared" ref="L16:L37" si="2">J16*2.88</f>
        <v>50967.360000000001</v>
      </c>
      <c r="M16" s="130">
        <v>18</v>
      </c>
      <c r="N16" s="130">
        <v>18</v>
      </c>
      <c r="O16" s="136"/>
      <c r="P16" s="130">
        <v>2</v>
      </c>
      <c r="Q16" s="130"/>
      <c r="R16" s="189">
        <f t="shared" ref="R16:R44" si="3">L16/M16*O16</f>
        <v>0</v>
      </c>
      <c r="S16" s="191">
        <f t="shared" ref="S16:S44" si="4">L16/M16*P16</f>
        <v>5663.04</v>
      </c>
      <c r="T16" s="191">
        <f t="shared" ref="T16:T44" si="5">L16/M16*Q16</f>
        <v>0</v>
      </c>
      <c r="U16" s="191">
        <f t="shared" ref="U16:U44" si="6">(R16+S16+T16)*25%</f>
        <v>1415.76</v>
      </c>
      <c r="V16" s="176">
        <v>0.1</v>
      </c>
      <c r="W16" s="176">
        <v>0.2</v>
      </c>
      <c r="X16" s="177">
        <v>0.125</v>
      </c>
      <c r="Y16" s="176">
        <v>0.25</v>
      </c>
      <c r="Z16" s="178">
        <v>0.15</v>
      </c>
      <c r="AA16" s="178">
        <v>0.3</v>
      </c>
      <c r="AB16" s="130"/>
      <c r="AC16" s="130"/>
      <c r="AD16" s="130">
        <v>2</v>
      </c>
      <c r="AE16" s="130"/>
      <c r="AF16" s="130"/>
      <c r="AG16" s="130"/>
      <c r="AH16" s="130"/>
      <c r="AI16" s="130"/>
      <c r="AJ16" s="191">
        <f>J16*V16/M16*AD16</f>
        <v>196.63333333333333</v>
      </c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549">
        <f t="shared" ref="BB16:BB44" si="7">(J16*K16)/18*(O16+P16+Q16)</f>
        <v>0</v>
      </c>
      <c r="BC16" s="130"/>
      <c r="BD16" s="130"/>
      <c r="BE16" s="130"/>
      <c r="BF16" s="191">
        <f t="shared" si="0"/>
        <v>7275.4333333333334</v>
      </c>
      <c r="BG16" s="191">
        <f>S16+T16+U16+V16+AI16++AJ16+AK16+AL16+AM16+AN16+AP16+AR16+AT16+AU16+AV16+AW16+AX16+AY16+BA16+BD16+BE16+BC16</f>
        <v>7275.5333333333338</v>
      </c>
      <c r="BH16" s="204">
        <f t="shared" ref="BH16:BH44" si="8">BF16-BG16</f>
        <v>-0.1000000000003638</v>
      </c>
      <c r="BI16" s="415"/>
      <c r="BJ16" s="132"/>
    </row>
    <row r="17" spans="1:62" ht="9.75" customHeight="1">
      <c r="A17" s="538">
        <v>3</v>
      </c>
      <c r="B17" s="129" t="s">
        <v>10</v>
      </c>
      <c r="C17" s="129" t="s">
        <v>358</v>
      </c>
      <c r="D17" s="195" t="s">
        <v>22</v>
      </c>
      <c r="E17" s="129" t="s">
        <v>288</v>
      </c>
      <c r="F17" s="129">
        <v>9</v>
      </c>
      <c r="G17" s="129" t="s">
        <v>245</v>
      </c>
      <c r="H17" s="130"/>
      <c r="I17" s="196">
        <f t="shared" si="1"/>
        <v>0.3888888888888889</v>
      </c>
      <c r="J17" s="130">
        <v>17697</v>
      </c>
      <c r="K17" s="176">
        <v>0.5</v>
      </c>
      <c r="L17" s="191">
        <v>50967</v>
      </c>
      <c r="M17" s="130">
        <v>18</v>
      </c>
      <c r="N17" s="130">
        <v>18</v>
      </c>
      <c r="O17" s="136"/>
      <c r="P17" s="130">
        <v>5</v>
      </c>
      <c r="Q17" s="130">
        <v>2</v>
      </c>
      <c r="R17" s="189">
        <f>L17/M17*O17</f>
        <v>0</v>
      </c>
      <c r="S17" s="191">
        <f>L17/M17*P17</f>
        <v>14157.5</v>
      </c>
      <c r="T17" s="191">
        <f>L17/M17*Q17</f>
        <v>5663</v>
      </c>
      <c r="U17" s="191">
        <f>(R17+S17+T17)*25%</f>
        <v>4955.125</v>
      </c>
      <c r="V17" s="176"/>
      <c r="W17" s="176"/>
      <c r="X17" s="177"/>
      <c r="Y17" s="176"/>
      <c r="Z17" s="178"/>
      <c r="AA17" s="178"/>
      <c r="AB17" s="130"/>
      <c r="AC17" s="130"/>
      <c r="AD17" s="130"/>
      <c r="AE17" s="130"/>
      <c r="AF17" s="130"/>
      <c r="AG17" s="130"/>
      <c r="AH17" s="130"/>
      <c r="AI17" s="130"/>
      <c r="AJ17" s="188"/>
      <c r="AK17" s="182"/>
      <c r="AL17" s="192"/>
      <c r="AM17" s="182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>
        <f>17697*15%/18*7</f>
        <v>1032.325</v>
      </c>
      <c r="BA17" s="191">
        <f>BB17-AZ17</f>
        <v>2408.7583333333332</v>
      </c>
      <c r="BB17" s="549">
        <f t="shared" si="7"/>
        <v>3441.083333333333</v>
      </c>
      <c r="BC17" s="130"/>
      <c r="BD17" s="130"/>
      <c r="BE17" s="130"/>
      <c r="BF17" s="191">
        <f t="shared" si="0"/>
        <v>28216.708333333332</v>
      </c>
      <c r="BG17" s="191">
        <f>S17+T17+U17+V17+AI17++AJ17+AK17+AL17+AM17+AN17+AP17+AR17+AT17+AU17+AV17+AW17+AX17+AY17+BA17+BD17+BE17+BC17</f>
        <v>27184.383333333331</v>
      </c>
      <c r="BH17" s="204">
        <f t="shared" si="8"/>
        <v>1032.3250000000007</v>
      </c>
      <c r="BI17" s="415"/>
      <c r="BJ17" s="132"/>
    </row>
    <row r="18" spans="1:62" ht="9.75" customHeight="1">
      <c r="A18" s="538">
        <v>4</v>
      </c>
      <c r="B18" s="129" t="s">
        <v>23</v>
      </c>
      <c r="C18" s="129" t="s">
        <v>378</v>
      </c>
      <c r="D18" s="195" t="s">
        <v>24</v>
      </c>
      <c r="E18" s="129" t="s">
        <v>288</v>
      </c>
      <c r="F18" s="129">
        <v>9</v>
      </c>
      <c r="G18" s="129" t="s">
        <v>241</v>
      </c>
      <c r="H18" s="130" t="s">
        <v>374</v>
      </c>
      <c r="I18" s="196">
        <f t="shared" si="1"/>
        <v>0.5</v>
      </c>
      <c r="J18" s="130">
        <v>17697</v>
      </c>
      <c r="K18" s="176">
        <v>0.5</v>
      </c>
      <c r="L18" s="191">
        <f>J18*2.78</f>
        <v>49197.659999999996</v>
      </c>
      <c r="M18" s="130">
        <v>18</v>
      </c>
      <c r="N18" s="130">
        <v>18</v>
      </c>
      <c r="O18" s="136"/>
      <c r="P18" s="130">
        <v>5</v>
      </c>
      <c r="Q18" s="130">
        <v>4</v>
      </c>
      <c r="R18" s="189">
        <f t="shared" si="3"/>
        <v>0</v>
      </c>
      <c r="S18" s="191">
        <f t="shared" si="4"/>
        <v>13666.016666666665</v>
      </c>
      <c r="T18" s="191">
        <f t="shared" si="5"/>
        <v>10932.813333333332</v>
      </c>
      <c r="U18" s="191">
        <f t="shared" si="6"/>
        <v>6149.7074999999986</v>
      </c>
      <c r="V18" s="176">
        <v>0.1</v>
      </c>
      <c r="W18" s="176">
        <v>0.2</v>
      </c>
      <c r="X18" s="177">
        <v>0.125</v>
      </c>
      <c r="Y18" s="176">
        <v>0.25</v>
      </c>
      <c r="Z18" s="178">
        <v>0.15</v>
      </c>
      <c r="AA18" s="178">
        <v>0.3</v>
      </c>
      <c r="AB18" s="130"/>
      <c r="AC18" s="130"/>
      <c r="AD18" s="130"/>
      <c r="AE18" s="130"/>
      <c r="AF18" s="130"/>
      <c r="AG18" s="130"/>
      <c r="AH18" s="130"/>
      <c r="AI18" s="130"/>
      <c r="AJ18" s="188">
        <f>J18*V18/M18*AD18</f>
        <v>0</v>
      </c>
      <c r="AK18" s="188">
        <f>J18*W18/M18*AE18</f>
        <v>0</v>
      </c>
      <c r="AL18" s="190">
        <f>J18*V18/M18*AF18</f>
        <v>0</v>
      </c>
      <c r="AM18" s="188">
        <f>J18*W18/M18*AG18</f>
        <v>0</v>
      </c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>
        <f>17697*15%/18*9</f>
        <v>1327.2749999999999</v>
      </c>
      <c r="BA18" s="191">
        <f t="shared" ref="BA18:BA44" si="9">BB18-AZ18</f>
        <v>3096.9750000000004</v>
      </c>
      <c r="BB18" s="549">
        <f t="shared" si="7"/>
        <v>4424.25</v>
      </c>
      <c r="BC18" s="191"/>
      <c r="BD18" s="197"/>
      <c r="BE18" s="191">
        <f>J18*3.5%*23</f>
        <v>14246.085000000003</v>
      </c>
      <c r="BF18" s="191">
        <f t="shared" si="0"/>
        <v>49418.872499999998</v>
      </c>
      <c r="BG18" s="191">
        <f>S18+T18+U18+V18+AI18++AJ18+AK18+AL18+AM18+AN18+AP18+AR18+AT18+AU18+AV18+AW18+AX18+AY18+BA18+BD18+BE18+BC18</f>
        <v>48091.697499999995</v>
      </c>
      <c r="BH18" s="204">
        <f t="shared" si="8"/>
        <v>1327.1750000000029</v>
      </c>
      <c r="BI18" s="415"/>
      <c r="BJ18" s="132"/>
    </row>
    <row r="19" spans="1:62" ht="9.75" customHeight="1">
      <c r="A19" s="538">
        <v>5</v>
      </c>
      <c r="B19" s="129" t="s">
        <v>25</v>
      </c>
      <c r="C19" s="129" t="s">
        <v>370</v>
      </c>
      <c r="D19" s="195" t="s">
        <v>26</v>
      </c>
      <c r="E19" s="129" t="s">
        <v>288</v>
      </c>
      <c r="F19" s="129">
        <v>9</v>
      </c>
      <c r="G19" s="129" t="s">
        <v>239</v>
      </c>
      <c r="H19" s="130" t="s">
        <v>374</v>
      </c>
      <c r="I19" s="196">
        <f t="shared" si="1"/>
        <v>1.2222222222222223</v>
      </c>
      <c r="J19" s="130">
        <v>17697</v>
      </c>
      <c r="K19" s="176">
        <v>0.5</v>
      </c>
      <c r="L19" s="191">
        <f t="shared" si="2"/>
        <v>50967.360000000001</v>
      </c>
      <c r="M19" s="130">
        <v>18</v>
      </c>
      <c r="N19" s="130">
        <v>18</v>
      </c>
      <c r="O19" s="136">
        <v>22</v>
      </c>
      <c r="P19" s="130"/>
      <c r="Q19" s="130"/>
      <c r="R19" s="189">
        <f t="shared" si="3"/>
        <v>62293.440000000002</v>
      </c>
      <c r="S19" s="191">
        <f t="shared" si="4"/>
        <v>0</v>
      </c>
      <c r="T19" s="191">
        <f t="shared" si="5"/>
        <v>0</v>
      </c>
      <c r="U19" s="191">
        <f t="shared" si="6"/>
        <v>15573.36</v>
      </c>
      <c r="V19" s="176">
        <v>0.1</v>
      </c>
      <c r="W19" s="176">
        <v>0.2</v>
      </c>
      <c r="X19" s="177">
        <v>0.125</v>
      </c>
      <c r="Y19" s="176">
        <v>0.25</v>
      </c>
      <c r="Z19" s="178">
        <v>0.15</v>
      </c>
      <c r="AA19" s="178">
        <v>0.3</v>
      </c>
      <c r="AB19" s="191">
        <v>18</v>
      </c>
      <c r="AC19" s="130"/>
      <c r="AD19" s="130"/>
      <c r="AE19" s="130"/>
      <c r="AF19" s="130"/>
      <c r="AG19" s="130"/>
      <c r="AH19" s="189">
        <f>J19*V19/M19*AB19</f>
        <v>1769.6999999999998</v>
      </c>
      <c r="AI19" s="189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>
        <v>2212</v>
      </c>
      <c r="AU19" s="194"/>
      <c r="AV19" s="130"/>
      <c r="AW19" s="130"/>
      <c r="AX19" s="130"/>
      <c r="AY19" s="130"/>
      <c r="AZ19" s="130">
        <f>17697*15%/18*22</f>
        <v>3244.45</v>
      </c>
      <c r="BA19" s="191">
        <f t="shared" si="9"/>
        <v>7570.3833333333323</v>
      </c>
      <c r="BB19" s="549">
        <f t="shared" si="7"/>
        <v>10814.833333333332</v>
      </c>
      <c r="BC19" s="130"/>
      <c r="BD19" s="197"/>
      <c r="BE19" s="130"/>
      <c r="BF19" s="191">
        <f t="shared" si="0"/>
        <v>92663.333333333328</v>
      </c>
      <c r="BG19" s="191">
        <f t="shared" ref="BG19:BG29" si="10">S19+T19+U19+V19+AI19++AJ19+AK19+AL19+AM19+AN19+AP19+AR19+AT19+AU19+AV19+AW19+AX19+AY19+BA19+BD19+BE19+BC19+R19+AH19</f>
        <v>89418.983333333323</v>
      </c>
      <c r="BH19" s="204">
        <f t="shared" si="8"/>
        <v>3244.3500000000058</v>
      </c>
      <c r="BI19" s="415"/>
      <c r="BJ19" s="132"/>
    </row>
    <row r="20" spans="1:62" ht="9.75" customHeight="1">
      <c r="A20" s="538">
        <v>6</v>
      </c>
      <c r="B20" s="129" t="s">
        <v>570</v>
      </c>
      <c r="C20" s="129" t="s">
        <v>392</v>
      </c>
      <c r="D20" s="195" t="s">
        <v>571</v>
      </c>
      <c r="E20" s="129" t="s">
        <v>291</v>
      </c>
      <c r="F20" s="129">
        <v>9</v>
      </c>
      <c r="G20" s="129" t="s">
        <v>238</v>
      </c>
      <c r="H20" s="130" t="s">
        <v>300</v>
      </c>
      <c r="I20" s="196">
        <f t="shared" si="1"/>
        <v>1.2222222222222223</v>
      </c>
      <c r="J20" s="130">
        <v>17697</v>
      </c>
      <c r="K20" s="176">
        <v>0.3</v>
      </c>
      <c r="L20" s="191">
        <f t="shared" si="2"/>
        <v>50967.360000000001</v>
      </c>
      <c r="M20" s="130">
        <v>18</v>
      </c>
      <c r="N20" s="130">
        <v>18</v>
      </c>
      <c r="O20" s="136">
        <v>22</v>
      </c>
      <c r="P20" s="130"/>
      <c r="Q20" s="130"/>
      <c r="R20" s="189">
        <f t="shared" si="3"/>
        <v>62293.440000000002</v>
      </c>
      <c r="S20" s="191">
        <f t="shared" si="4"/>
        <v>0</v>
      </c>
      <c r="T20" s="191">
        <f t="shared" si="5"/>
        <v>0</v>
      </c>
      <c r="U20" s="191">
        <f>(R20+S20+T20)*25%</f>
        <v>15573.36</v>
      </c>
      <c r="V20" s="176">
        <v>0.1</v>
      </c>
      <c r="W20" s="176">
        <v>0.2</v>
      </c>
      <c r="X20" s="177">
        <v>0.125</v>
      </c>
      <c r="Y20" s="176">
        <v>0.25</v>
      </c>
      <c r="Z20" s="178">
        <v>0.15</v>
      </c>
      <c r="AA20" s="178">
        <v>0.3</v>
      </c>
      <c r="AB20" s="130">
        <v>18</v>
      </c>
      <c r="AC20" s="130"/>
      <c r="AD20" s="130"/>
      <c r="AE20" s="130"/>
      <c r="AF20" s="130"/>
      <c r="AG20" s="130"/>
      <c r="AH20" s="189">
        <f>J20*V20/M20*AB20</f>
        <v>1769.6999999999998</v>
      </c>
      <c r="AI20" s="130"/>
      <c r="AJ20" s="188">
        <f>J20*V20/M20*AD20</f>
        <v>0</v>
      </c>
      <c r="AK20" s="188">
        <f>J20*W20/M20*AE20</f>
        <v>0</v>
      </c>
      <c r="AL20" s="190">
        <f>J20*V20/M20*AF20</f>
        <v>0</v>
      </c>
      <c r="AM20" s="188">
        <f>J20*W20/M20*AG20</f>
        <v>0</v>
      </c>
      <c r="AN20" s="130"/>
      <c r="AO20" s="130"/>
      <c r="AP20" s="130"/>
      <c r="AQ20" s="130"/>
      <c r="AR20" s="130"/>
      <c r="AS20" s="130"/>
      <c r="AT20" s="130">
        <v>2212</v>
      </c>
      <c r="AU20" s="130"/>
      <c r="AV20" s="130"/>
      <c r="AW20" s="194"/>
      <c r="AX20" s="130"/>
      <c r="AY20" s="130"/>
      <c r="AZ20" s="130">
        <f>17697*10%/18*22</f>
        <v>2162.9666666666667</v>
      </c>
      <c r="BA20" s="191">
        <f t="shared" si="9"/>
        <v>4325.9333333333325</v>
      </c>
      <c r="BB20" s="549">
        <f t="shared" si="7"/>
        <v>6488.9</v>
      </c>
      <c r="BC20" s="130"/>
      <c r="BD20" s="197"/>
      <c r="BE20" s="130"/>
      <c r="BF20" s="191">
        <f t="shared" si="0"/>
        <v>88337.4</v>
      </c>
      <c r="BG20" s="191">
        <f t="shared" si="10"/>
        <v>86174.53333333334</v>
      </c>
      <c r="BH20" s="204">
        <f t="shared" si="8"/>
        <v>2162.8666666666541</v>
      </c>
      <c r="BI20" s="415"/>
      <c r="BJ20" s="132"/>
    </row>
    <row r="21" spans="1:62" ht="9.75" customHeight="1">
      <c r="A21" s="538">
        <v>7</v>
      </c>
      <c r="B21" s="129" t="s">
        <v>251</v>
      </c>
      <c r="C21" s="129" t="s">
        <v>381</v>
      </c>
      <c r="D21" s="195"/>
      <c r="E21" s="129" t="s">
        <v>288</v>
      </c>
      <c r="F21" s="129">
        <v>9</v>
      </c>
      <c r="G21" s="129" t="s">
        <v>406</v>
      </c>
      <c r="H21" s="130"/>
      <c r="I21" s="196">
        <f t="shared" si="1"/>
        <v>0.22222222222222221</v>
      </c>
      <c r="J21" s="130">
        <v>17697</v>
      </c>
      <c r="K21" s="176"/>
      <c r="L21" s="191">
        <v>45658</v>
      </c>
      <c r="M21" s="130">
        <v>18</v>
      </c>
      <c r="N21" s="130">
        <v>18</v>
      </c>
      <c r="O21" s="136">
        <v>2</v>
      </c>
      <c r="P21" s="130">
        <v>2</v>
      </c>
      <c r="Q21" s="130"/>
      <c r="R21" s="189">
        <f t="shared" si="3"/>
        <v>5073.1111111111113</v>
      </c>
      <c r="S21" s="191">
        <f t="shared" si="4"/>
        <v>5073.1111111111113</v>
      </c>
      <c r="T21" s="191">
        <f t="shared" si="5"/>
        <v>0</v>
      </c>
      <c r="U21" s="191">
        <f>(R21+S21+T21)*25%</f>
        <v>2536.5555555555557</v>
      </c>
      <c r="V21" s="176">
        <v>0.1</v>
      </c>
      <c r="W21" s="176">
        <v>0.2</v>
      </c>
      <c r="X21" s="177">
        <v>0.125</v>
      </c>
      <c r="Y21" s="176">
        <v>0.25</v>
      </c>
      <c r="Z21" s="178">
        <v>0.15</v>
      </c>
      <c r="AA21" s="178">
        <v>0.3</v>
      </c>
      <c r="AB21" s="130"/>
      <c r="AC21" s="130"/>
      <c r="AD21" s="130"/>
      <c r="AE21" s="130"/>
      <c r="AF21" s="130"/>
      <c r="AG21" s="130"/>
      <c r="AH21" s="189"/>
      <c r="AI21" s="130"/>
      <c r="AJ21" s="188"/>
      <c r="AK21" s="188"/>
      <c r="AL21" s="190">
        <v>0</v>
      </c>
      <c r="AM21" s="188"/>
      <c r="AN21" s="130"/>
      <c r="AO21" s="130"/>
      <c r="AP21" s="130"/>
      <c r="AQ21" s="130"/>
      <c r="AR21" s="130"/>
      <c r="AS21" s="130"/>
      <c r="AT21" s="130"/>
      <c r="AU21" s="194"/>
      <c r="AV21" s="191"/>
      <c r="AW21" s="194"/>
      <c r="AX21" s="130"/>
      <c r="AY21" s="130"/>
      <c r="AZ21" s="130"/>
      <c r="BA21" s="191">
        <f t="shared" si="9"/>
        <v>0</v>
      </c>
      <c r="BB21" s="549">
        <f t="shared" si="7"/>
        <v>0</v>
      </c>
      <c r="BC21" s="130"/>
      <c r="BD21" s="197"/>
      <c r="BE21" s="130"/>
      <c r="BF21" s="191">
        <f t="shared" ref="BF21:BF37" si="11">R21+S21+T21+U21+AH21++AI21+AJ21+AK21+AL21+AM21+AO21+AQ21+AS21+AT21+AU21+AV21+AW21+AX21+AY21+BC21+BD21+BE21+BB21</f>
        <v>12682.777777777777</v>
      </c>
      <c r="BG21" s="191">
        <f t="shared" si="10"/>
        <v>12682.87777777778</v>
      </c>
      <c r="BH21" s="204">
        <f t="shared" si="8"/>
        <v>-0.10000000000218279</v>
      </c>
      <c r="BI21" s="415"/>
      <c r="BJ21" s="132"/>
    </row>
    <row r="22" spans="1:62" ht="9.75" customHeight="1">
      <c r="A22" s="538">
        <v>8</v>
      </c>
      <c r="B22" s="129" t="s">
        <v>27</v>
      </c>
      <c r="C22" s="129" t="s">
        <v>393</v>
      </c>
      <c r="D22" s="195" t="s">
        <v>28</v>
      </c>
      <c r="E22" s="129" t="s">
        <v>288</v>
      </c>
      <c r="F22" s="129">
        <v>9</v>
      </c>
      <c r="G22" s="129" t="s">
        <v>246</v>
      </c>
      <c r="H22" s="130" t="s">
        <v>374</v>
      </c>
      <c r="I22" s="196">
        <f t="shared" si="1"/>
        <v>1.1666666666666667</v>
      </c>
      <c r="J22" s="130">
        <v>17697</v>
      </c>
      <c r="K22" s="176">
        <v>0.5</v>
      </c>
      <c r="L22" s="191">
        <f t="shared" si="2"/>
        <v>50967.360000000001</v>
      </c>
      <c r="M22" s="130">
        <v>18</v>
      </c>
      <c r="N22" s="130">
        <v>18</v>
      </c>
      <c r="O22" s="136">
        <v>21</v>
      </c>
      <c r="P22" s="130"/>
      <c r="Q22" s="130"/>
      <c r="R22" s="189">
        <f t="shared" si="3"/>
        <v>59461.919999999998</v>
      </c>
      <c r="S22" s="191">
        <f t="shared" si="4"/>
        <v>0</v>
      </c>
      <c r="T22" s="191">
        <f t="shared" si="5"/>
        <v>0</v>
      </c>
      <c r="U22" s="191">
        <f t="shared" si="6"/>
        <v>14865.48</v>
      </c>
      <c r="V22" s="176">
        <v>0.1</v>
      </c>
      <c r="W22" s="176">
        <v>0.2</v>
      </c>
      <c r="X22" s="177">
        <v>0.125</v>
      </c>
      <c r="Y22" s="176">
        <v>0.25</v>
      </c>
      <c r="Z22" s="178">
        <v>0.15</v>
      </c>
      <c r="AA22" s="178">
        <v>0.3</v>
      </c>
      <c r="AB22" s="130">
        <v>18</v>
      </c>
      <c r="AC22" s="130"/>
      <c r="AD22" s="130"/>
      <c r="AE22" s="130"/>
      <c r="AF22" s="130"/>
      <c r="AG22" s="130"/>
      <c r="AH22" s="189">
        <f>J22*V22/M22*AB22</f>
        <v>1769.6999999999998</v>
      </c>
      <c r="AI22" s="189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>
        <v>2212</v>
      </c>
      <c r="AU22" s="194"/>
      <c r="AV22" s="130"/>
      <c r="AW22" s="130"/>
      <c r="AX22" s="130"/>
      <c r="AY22" s="130"/>
      <c r="AZ22" s="130">
        <f>17697*15%/18*21</f>
        <v>3096.9749999999999</v>
      </c>
      <c r="BA22" s="191">
        <f t="shared" si="9"/>
        <v>7226.2749999999996</v>
      </c>
      <c r="BB22" s="549">
        <f t="shared" si="7"/>
        <v>10323.25</v>
      </c>
      <c r="BC22" s="130"/>
      <c r="BD22" s="136"/>
      <c r="BE22" s="130"/>
      <c r="BF22" s="191">
        <f t="shared" si="11"/>
        <v>88632.349999999991</v>
      </c>
      <c r="BG22" s="191">
        <f t="shared" si="10"/>
        <v>85535.474999999991</v>
      </c>
      <c r="BH22" s="204">
        <f t="shared" si="8"/>
        <v>3096.875</v>
      </c>
      <c r="BI22" s="415"/>
      <c r="BJ22" s="132"/>
    </row>
    <row r="23" spans="1:62" ht="9.75" customHeight="1">
      <c r="A23" s="538">
        <v>9</v>
      </c>
      <c r="B23" s="129" t="s">
        <v>11</v>
      </c>
      <c r="C23" s="129" t="s">
        <v>400</v>
      </c>
      <c r="D23" s="195" t="s">
        <v>29</v>
      </c>
      <c r="E23" s="129" t="s">
        <v>291</v>
      </c>
      <c r="F23" s="129">
        <v>11</v>
      </c>
      <c r="G23" s="129" t="s">
        <v>296</v>
      </c>
      <c r="H23" s="130" t="s">
        <v>300</v>
      </c>
      <c r="I23" s="196">
        <f t="shared" si="1"/>
        <v>0.33333333333333331</v>
      </c>
      <c r="J23" s="130">
        <v>17697</v>
      </c>
      <c r="K23" s="176">
        <v>0.3</v>
      </c>
      <c r="L23" s="191">
        <f>J23*2.13</f>
        <v>37694.61</v>
      </c>
      <c r="M23" s="130">
        <v>18</v>
      </c>
      <c r="N23" s="130">
        <v>18</v>
      </c>
      <c r="O23" s="136"/>
      <c r="P23" s="130">
        <v>6</v>
      </c>
      <c r="Q23" s="130"/>
      <c r="R23" s="189">
        <f t="shared" si="3"/>
        <v>0</v>
      </c>
      <c r="S23" s="191">
        <f t="shared" si="4"/>
        <v>12564.869999999999</v>
      </c>
      <c r="T23" s="191">
        <f t="shared" si="5"/>
        <v>0</v>
      </c>
      <c r="U23" s="191">
        <f>(R23+S23+T23)*25%</f>
        <v>3141.2174999999997</v>
      </c>
      <c r="V23" s="176">
        <v>0.1</v>
      </c>
      <c r="W23" s="176">
        <v>0.2</v>
      </c>
      <c r="X23" s="177">
        <v>0.125</v>
      </c>
      <c r="Y23" s="176">
        <v>0.25</v>
      </c>
      <c r="Z23" s="178">
        <v>0.15</v>
      </c>
      <c r="AA23" s="178">
        <v>0.3</v>
      </c>
      <c r="AB23" s="130"/>
      <c r="AC23" s="130"/>
      <c r="AD23" s="130">
        <v>6</v>
      </c>
      <c r="AE23" s="130"/>
      <c r="AF23" s="130"/>
      <c r="AG23" s="130"/>
      <c r="AH23" s="191">
        <f>J23*X23/N23*AB23</f>
        <v>0</v>
      </c>
      <c r="AI23" s="130"/>
      <c r="AJ23" s="188">
        <f>J23*X23/M23*AD23</f>
        <v>737.375</v>
      </c>
      <c r="AK23" s="188">
        <f>J23*Y23/M23*AE23</f>
        <v>0</v>
      </c>
      <c r="AL23" s="190">
        <f>J23*X23/M23*AF23</f>
        <v>0</v>
      </c>
      <c r="AM23" s="188">
        <f>J23*Y23/M23*AG23</f>
        <v>0</v>
      </c>
      <c r="AN23" s="130"/>
      <c r="AO23" s="130"/>
      <c r="AP23" s="130"/>
      <c r="AQ23" s="191">
        <f>J23*Y23/M23*AP23</f>
        <v>0</v>
      </c>
      <c r="AR23" s="130"/>
      <c r="AS23" s="130"/>
      <c r="AT23" s="130"/>
      <c r="AU23" s="130"/>
      <c r="AV23" s="130"/>
      <c r="AW23" s="130"/>
      <c r="AX23" s="130"/>
      <c r="AY23" s="130"/>
      <c r="AZ23" s="130">
        <f>17697*10%/18*6</f>
        <v>589.9</v>
      </c>
      <c r="BA23" s="191">
        <f t="shared" si="9"/>
        <v>1179.7999999999997</v>
      </c>
      <c r="BB23" s="549">
        <f t="shared" si="7"/>
        <v>1769.6999999999998</v>
      </c>
      <c r="BC23" s="130"/>
      <c r="BD23" s="197"/>
      <c r="BE23" s="130"/>
      <c r="BF23" s="191">
        <f t="shared" si="11"/>
        <v>18213.162499999999</v>
      </c>
      <c r="BG23" s="191">
        <f t="shared" si="10"/>
        <v>17623.362499999999</v>
      </c>
      <c r="BH23" s="204">
        <f t="shared" si="8"/>
        <v>589.79999999999927</v>
      </c>
      <c r="BI23" s="415"/>
      <c r="BJ23" s="132"/>
    </row>
    <row r="24" spans="1:62" ht="9.75" customHeight="1">
      <c r="A24" s="538">
        <v>10</v>
      </c>
      <c r="B24" s="129" t="s">
        <v>30</v>
      </c>
      <c r="C24" s="129" t="s">
        <v>400</v>
      </c>
      <c r="D24" s="195" t="s">
        <v>31</v>
      </c>
      <c r="E24" s="129" t="s">
        <v>288</v>
      </c>
      <c r="F24" s="129">
        <v>9</v>
      </c>
      <c r="G24" s="129" t="s">
        <v>235</v>
      </c>
      <c r="H24" s="130" t="s">
        <v>300</v>
      </c>
      <c r="I24" s="196">
        <f t="shared" si="1"/>
        <v>1</v>
      </c>
      <c r="J24" s="130">
        <v>17697</v>
      </c>
      <c r="K24" s="176">
        <v>0.3</v>
      </c>
      <c r="L24" s="191">
        <v>49198</v>
      </c>
      <c r="M24" s="130">
        <v>18</v>
      </c>
      <c r="N24" s="130">
        <v>18</v>
      </c>
      <c r="O24" s="136"/>
      <c r="P24" s="130">
        <v>11</v>
      </c>
      <c r="Q24" s="130">
        <v>7</v>
      </c>
      <c r="R24" s="189">
        <f t="shared" si="3"/>
        <v>0</v>
      </c>
      <c r="S24" s="191">
        <f t="shared" si="4"/>
        <v>30065.444444444445</v>
      </c>
      <c r="T24" s="191">
        <f t="shared" si="5"/>
        <v>19132.555555555555</v>
      </c>
      <c r="U24" s="191">
        <f t="shared" si="6"/>
        <v>12299.5</v>
      </c>
      <c r="V24" s="176">
        <v>0.1</v>
      </c>
      <c r="W24" s="176">
        <v>0.2</v>
      </c>
      <c r="X24" s="177">
        <v>0.125</v>
      </c>
      <c r="Y24" s="176">
        <v>0.25</v>
      </c>
      <c r="Z24" s="178">
        <v>0.15</v>
      </c>
      <c r="AA24" s="178">
        <v>0.3</v>
      </c>
      <c r="AB24" s="130"/>
      <c r="AC24" s="130"/>
      <c r="AD24" s="130">
        <v>11</v>
      </c>
      <c r="AE24" s="130"/>
      <c r="AF24" s="130">
        <v>6</v>
      </c>
      <c r="AG24" s="130"/>
      <c r="AH24" s="130"/>
      <c r="AI24" s="130"/>
      <c r="AJ24" s="188">
        <f>J24*X24/M24*AD24</f>
        <v>1351.8541666666665</v>
      </c>
      <c r="AK24" s="188">
        <f>J24*Y24/M24*AE24</f>
        <v>0</v>
      </c>
      <c r="AL24" s="190">
        <f>J24*X24/M24*AF24</f>
        <v>737.375</v>
      </c>
      <c r="AM24" s="188">
        <f>J24*Y24/M24*AG24</f>
        <v>0</v>
      </c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>
        <v>2655</v>
      </c>
      <c r="AY24" s="130"/>
      <c r="AZ24" s="130">
        <f>17697*10%</f>
        <v>1769.7</v>
      </c>
      <c r="BA24" s="191">
        <f t="shared" si="9"/>
        <v>3539.3999999999996</v>
      </c>
      <c r="BB24" s="549">
        <f t="shared" si="7"/>
        <v>5309.0999999999995</v>
      </c>
      <c r="BC24" s="130"/>
      <c r="BD24" s="197">
        <v>3539</v>
      </c>
      <c r="BE24" s="130"/>
      <c r="BF24" s="191">
        <f t="shared" si="11"/>
        <v>75089.829166666663</v>
      </c>
      <c r="BG24" s="191">
        <f t="shared" si="10"/>
        <v>73320.229166666657</v>
      </c>
      <c r="BH24" s="204">
        <f t="shared" si="8"/>
        <v>1769.6000000000058</v>
      </c>
      <c r="BI24" s="415"/>
      <c r="BJ24" s="132"/>
    </row>
    <row r="25" spans="1:62" ht="9.75" customHeight="1">
      <c r="A25" s="538">
        <v>11</v>
      </c>
      <c r="B25" s="129" t="s">
        <v>32</v>
      </c>
      <c r="C25" s="129" t="s">
        <v>33</v>
      </c>
      <c r="D25" s="195" t="s">
        <v>34</v>
      </c>
      <c r="E25" s="129" t="s">
        <v>291</v>
      </c>
      <c r="F25" s="129">
        <v>11</v>
      </c>
      <c r="G25" s="129" t="s">
        <v>296</v>
      </c>
      <c r="H25" s="130" t="s">
        <v>300</v>
      </c>
      <c r="I25" s="196">
        <f t="shared" si="1"/>
        <v>0.44444444444444442</v>
      </c>
      <c r="J25" s="130">
        <v>17697</v>
      </c>
      <c r="K25" s="176">
        <v>0.3</v>
      </c>
      <c r="L25" s="191">
        <f>J25*2.13</f>
        <v>37694.61</v>
      </c>
      <c r="M25" s="130">
        <v>18</v>
      </c>
      <c r="N25" s="130">
        <v>18</v>
      </c>
      <c r="O25" s="136"/>
      <c r="P25" s="130">
        <v>6</v>
      </c>
      <c r="Q25" s="130">
        <v>2</v>
      </c>
      <c r="R25" s="189">
        <f t="shared" si="3"/>
        <v>0</v>
      </c>
      <c r="S25" s="191">
        <f t="shared" si="4"/>
        <v>12564.869999999999</v>
      </c>
      <c r="T25" s="191">
        <f t="shared" si="5"/>
        <v>4188.29</v>
      </c>
      <c r="U25" s="191">
        <f t="shared" si="6"/>
        <v>4188.29</v>
      </c>
      <c r="V25" s="176">
        <v>0.1</v>
      </c>
      <c r="W25" s="176">
        <v>0.2</v>
      </c>
      <c r="X25" s="177">
        <v>0.125</v>
      </c>
      <c r="Y25" s="176">
        <v>0.25</v>
      </c>
      <c r="Z25" s="178">
        <v>0.15</v>
      </c>
      <c r="AA25" s="178">
        <v>0.3</v>
      </c>
      <c r="AB25" s="130"/>
      <c r="AC25" s="130"/>
      <c r="AD25" s="130"/>
      <c r="AE25" s="130"/>
      <c r="AF25" s="130"/>
      <c r="AG25" s="130"/>
      <c r="AH25" s="130"/>
      <c r="AI25" s="130"/>
      <c r="AJ25" s="188">
        <f>J25*V25/M25*AD25</f>
        <v>0</v>
      </c>
      <c r="AK25" s="188">
        <f>J25*W25/M25*AE25</f>
        <v>0</v>
      </c>
      <c r="AL25" s="190">
        <f>J25*V25/M25*AF25</f>
        <v>0</v>
      </c>
      <c r="AM25" s="188">
        <f>J25*W25/M25*AG25</f>
        <v>0</v>
      </c>
      <c r="AN25" s="130"/>
      <c r="AO25" s="130"/>
      <c r="AP25" s="130"/>
      <c r="AQ25" s="130"/>
      <c r="AR25" s="130"/>
      <c r="AS25" s="130"/>
      <c r="AT25" s="130"/>
      <c r="AU25" s="130"/>
      <c r="AV25" s="191">
        <v>2655</v>
      </c>
      <c r="AW25" s="194"/>
      <c r="AX25" s="130"/>
      <c r="AY25" s="130"/>
      <c r="AZ25" s="130">
        <f>17697*10%/18*8</f>
        <v>786.5333333333333</v>
      </c>
      <c r="BA25" s="191">
        <f t="shared" si="9"/>
        <v>1573.0666666666666</v>
      </c>
      <c r="BB25" s="549">
        <f t="shared" si="7"/>
        <v>2359.6</v>
      </c>
      <c r="BC25" s="191">
        <v>1769</v>
      </c>
      <c r="BD25" s="197">
        <v>3539</v>
      </c>
      <c r="BE25" s="130"/>
      <c r="BF25" s="191">
        <f t="shared" si="11"/>
        <v>31264.05</v>
      </c>
      <c r="BG25" s="191">
        <f t="shared" si="10"/>
        <v>30477.616666666665</v>
      </c>
      <c r="BH25" s="204">
        <f t="shared" si="8"/>
        <v>786.4333333333343</v>
      </c>
      <c r="BI25" s="415"/>
      <c r="BJ25" s="132"/>
    </row>
    <row r="26" spans="1:62" ht="9.75" customHeight="1">
      <c r="A26" s="538">
        <v>12</v>
      </c>
      <c r="B26" s="129" t="s">
        <v>35</v>
      </c>
      <c r="C26" s="129" t="s">
        <v>400</v>
      </c>
      <c r="D26" s="195" t="s">
        <v>36</v>
      </c>
      <c r="E26" s="129" t="s">
        <v>288</v>
      </c>
      <c r="F26" s="129">
        <v>9</v>
      </c>
      <c r="G26" s="129" t="s">
        <v>248</v>
      </c>
      <c r="H26" s="130" t="s">
        <v>401</v>
      </c>
      <c r="I26" s="196">
        <f t="shared" si="1"/>
        <v>0.27777777777777779</v>
      </c>
      <c r="J26" s="130">
        <v>17697</v>
      </c>
      <c r="K26" s="176">
        <v>1</v>
      </c>
      <c r="L26" s="191">
        <f t="shared" si="2"/>
        <v>50967.360000000001</v>
      </c>
      <c r="M26" s="130">
        <v>18</v>
      </c>
      <c r="N26" s="130">
        <v>18</v>
      </c>
      <c r="O26" s="136"/>
      <c r="P26" s="130">
        <v>5</v>
      </c>
      <c r="Q26" s="130"/>
      <c r="R26" s="189">
        <f t="shared" si="3"/>
        <v>0</v>
      </c>
      <c r="S26" s="191">
        <f t="shared" si="4"/>
        <v>14157.6</v>
      </c>
      <c r="T26" s="191">
        <f t="shared" si="5"/>
        <v>0</v>
      </c>
      <c r="U26" s="191">
        <f t="shared" si="6"/>
        <v>3539.4</v>
      </c>
      <c r="V26" s="176">
        <v>0.1</v>
      </c>
      <c r="W26" s="176">
        <v>0.2</v>
      </c>
      <c r="X26" s="177">
        <v>0.125</v>
      </c>
      <c r="Y26" s="176">
        <v>0.25</v>
      </c>
      <c r="Z26" s="178">
        <v>0.15</v>
      </c>
      <c r="AA26" s="178">
        <v>0.3</v>
      </c>
      <c r="AB26" s="130"/>
      <c r="AC26" s="130"/>
      <c r="AD26" s="130">
        <v>5</v>
      </c>
      <c r="AE26" s="130"/>
      <c r="AF26" s="130"/>
      <c r="AG26" s="130"/>
      <c r="AH26" s="130"/>
      <c r="AI26" s="130"/>
      <c r="AJ26" s="188">
        <f>J26*X26/M26*AD26</f>
        <v>614.47916666666663</v>
      </c>
      <c r="AK26" s="188">
        <f>J26*Y26/M26*AE26</f>
        <v>0</v>
      </c>
      <c r="AL26" s="190">
        <f>J26*X26/M26*AF26</f>
        <v>0</v>
      </c>
      <c r="AM26" s="188">
        <f>J26*Y26/M26*AG26</f>
        <v>0</v>
      </c>
      <c r="AN26" s="130"/>
      <c r="AO26" s="130"/>
      <c r="AP26" s="130"/>
      <c r="AQ26" s="130"/>
      <c r="AR26" s="130"/>
      <c r="AS26" s="130"/>
      <c r="AT26" s="130"/>
      <c r="AU26" s="130"/>
      <c r="AV26" s="130"/>
      <c r="AW26" s="194"/>
      <c r="AX26" s="130"/>
      <c r="AY26" s="130"/>
      <c r="AZ26" s="130">
        <f>BB26*40%</f>
        <v>1966.3333333333333</v>
      </c>
      <c r="BA26" s="191">
        <f t="shared" si="9"/>
        <v>2949.5</v>
      </c>
      <c r="BB26" s="549">
        <f t="shared" si="7"/>
        <v>4915.833333333333</v>
      </c>
      <c r="BC26" s="130"/>
      <c r="BD26" s="197"/>
      <c r="BE26" s="130"/>
      <c r="BF26" s="191">
        <f t="shared" si="11"/>
        <v>23227.3125</v>
      </c>
      <c r="BG26" s="191">
        <f t="shared" si="10"/>
        <v>21261.079166666666</v>
      </c>
      <c r="BH26" s="204">
        <f t="shared" si="8"/>
        <v>1966.2333333333336</v>
      </c>
      <c r="BI26" s="415"/>
      <c r="BJ26" s="132"/>
    </row>
    <row r="27" spans="1:62" ht="9.75" customHeight="1">
      <c r="A27" s="538">
        <v>13</v>
      </c>
      <c r="B27" s="129" t="s">
        <v>35</v>
      </c>
      <c r="C27" s="129" t="s">
        <v>402</v>
      </c>
      <c r="D27" s="195" t="s">
        <v>37</v>
      </c>
      <c r="E27" s="129" t="s">
        <v>288</v>
      </c>
      <c r="F27" s="129">
        <v>9</v>
      </c>
      <c r="G27" s="129" t="s">
        <v>248</v>
      </c>
      <c r="H27" s="130" t="s">
        <v>401</v>
      </c>
      <c r="I27" s="196">
        <f t="shared" si="1"/>
        <v>0.22222222222222221</v>
      </c>
      <c r="J27" s="130">
        <v>17697</v>
      </c>
      <c r="K27" s="176">
        <v>1</v>
      </c>
      <c r="L27" s="191">
        <f t="shared" si="2"/>
        <v>50967.360000000001</v>
      </c>
      <c r="M27" s="130">
        <v>18</v>
      </c>
      <c r="N27" s="130">
        <v>18</v>
      </c>
      <c r="O27" s="136"/>
      <c r="P27" s="130">
        <v>4</v>
      </c>
      <c r="Q27" s="130"/>
      <c r="R27" s="189">
        <f t="shared" si="3"/>
        <v>0</v>
      </c>
      <c r="S27" s="191">
        <f t="shared" si="4"/>
        <v>11326.08</v>
      </c>
      <c r="T27" s="191">
        <f t="shared" si="5"/>
        <v>0</v>
      </c>
      <c r="U27" s="191">
        <f t="shared" si="6"/>
        <v>2831.52</v>
      </c>
      <c r="V27" s="176">
        <v>0.1</v>
      </c>
      <c r="W27" s="176">
        <v>0.2</v>
      </c>
      <c r="X27" s="177">
        <v>0.125</v>
      </c>
      <c r="Y27" s="176">
        <v>0.25</v>
      </c>
      <c r="Z27" s="178">
        <v>0.15</v>
      </c>
      <c r="AA27" s="178">
        <v>0.3</v>
      </c>
      <c r="AB27" s="130"/>
      <c r="AC27" s="130"/>
      <c r="AD27" s="130"/>
      <c r="AE27" s="130"/>
      <c r="AF27" s="130"/>
      <c r="AG27" s="130"/>
      <c r="AH27" s="130"/>
      <c r="AI27" s="130"/>
      <c r="AJ27" s="188"/>
      <c r="AK27" s="188"/>
      <c r="AL27" s="190"/>
      <c r="AM27" s="188"/>
      <c r="AN27" s="130"/>
      <c r="AO27" s="130"/>
      <c r="AP27" s="130"/>
      <c r="AQ27" s="130"/>
      <c r="AR27" s="130"/>
      <c r="AS27" s="130"/>
      <c r="AT27" s="130"/>
      <c r="AU27" s="130"/>
      <c r="AV27" s="130"/>
      <c r="AW27" s="194"/>
      <c r="AX27" s="130"/>
      <c r="AY27" s="130"/>
      <c r="AZ27" s="130">
        <f>BB27*40%</f>
        <v>1573.0666666666666</v>
      </c>
      <c r="BA27" s="191">
        <f t="shared" si="9"/>
        <v>2359.6</v>
      </c>
      <c r="BB27" s="549">
        <f t="shared" si="7"/>
        <v>3932.6666666666665</v>
      </c>
      <c r="BC27" s="130"/>
      <c r="BD27" s="197"/>
      <c r="BE27" s="130"/>
      <c r="BF27" s="191">
        <f t="shared" si="11"/>
        <v>18090.266666666666</v>
      </c>
      <c r="BG27" s="191">
        <f t="shared" si="10"/>
        <v>16517.3</v>
      </c>
      <c r="BH27" s="204">
        <f t="shared" si="8"/>
        <v>1572.9666666666672</v>
      </c>
      <c r="BI27" s="415"/>
      <c r="BJ27" s="132"/>
    </row>
    <row r="28" spans="1:62" ht="9.75" customHeight="1">
      <c r="A28" s="538">
        <v>14</v>
      </c>
      <c r="B28" s="129" t="s">
        <v>9</v>
      </c>
      <c r="C28" s="129" t="s">
        <v>394</v>
      </c>
      <c r="D28" s="195" t="s">
        <v>38</v>
      </c>
      <c r="E28" s="129" t="s">
        <v>288</v>
      </c>
      <c r="F28" s="129">
        <v>9</v>
      </c>
      <c r="G28" s="129" t="s">
        <v>262</v>
      </c>
      <c r="H28" s="130" t="s">
        <v>374</v>
      </c>
      <c r="I28" s="196">
        <f t="shared" si="1"/>
        <v>0.61111111111111116</v>
      </c>
      <c r="J28" s="130">
        <v>17697</v>
      </c>
      <c r="K28" s="176">
        <v>0.5</v>
      </c>
      <c r="L28" s="191">
        <f t="shared" si="2"/>
        <v>50967.360000000001</v>
      </c>
      <c r="M28" s="130">
        <v>18</v>
      </c>
      <c r="N28" s="130">
        <v>18</v>
      </c>
      <c r="O28" s="136"/>
      <c r="P28" s="130">
        <v>4</v>
      </c>
      <c r="Q28" s="130">
        <v>7</v>
      </c>
      <c r="R28" s="189">
        <f t="shared" si="3"/>
        <v>0</v>
      </c>
      <c r="S28" s="191">
        <f t="shared" si="4"/>
        <v>11326.08</v>
      </c>
      <c r="T28" s="191">
        <f t="shared" si="5"/>
        <v>19820.64</v>
      </c>
      <c r="U28" s="191">
        <f t="shared" si="6"/>
        <v>7786.68</v>
      </c>
      <c r="V28" s="176">
        <v>0.1</v>
      </c>
      <c r="W28" s="176">
        <v>0.2</v>
      </c>
      <c r="X28" s="177">
        <v>0.125</v>
      </c>
      <c r="Y28" s="176">
        <v>0.25</v>
      </c>
      <c r="Z28" s="178">
        <v>0.15</v>
      </c>
      <c r="AA28" s="178">
        <v>0.3</v>
      </c>
      <c r="AB28" s="130"/>
      <c r="AC28" s="130"/>
      <c r="AD28" s="130">
        <v>4</v>
      </c>
      <c r="AE28" s="130"/>
      <c r="AF28" s="130">
        <v>7</v>
      </c>
      <c r="AG28" s="130"/>
      <c r="AH28" s="130"/>
      <c r="AI28" s="130"/>
      <c r="AJ28" s="188">
        <f>J28*V28/M28*AD28</f>
        <v>393.26666666666665</v>
      </c>
      <c r="AK28" s="188">
        <f>J28*W28/M28*AE28</f>
        <v>0</v>
      </c>
      <c r="AL28" s="190">
        <f>J28*V28/M28*AF28</f>
        <v>688.2166666666667</v>
      </c>
      <c r="AM28" s="188">
        <f>J28*W28/M28*AG28</f>
        <v>0</v>
      </c>
      <c r="AN28" s="130"/>
      <c r="AO28" s="130"/>
      <c r="AP28" s="130"/>
      <c r="AQ28" s="130"/>
      <c r="AR28" s="130"/>
      <c r="AS28" s="130"/>
      <c r="AT28" s="130"/>
      <c r="AU28" s="130"/>
      <c r="AV28" s="130"/>
      <c r="AW28" s="194"/>
      <c r="AX28" s="130"/>
      <c r="AY28" s="130"/>
      <c r="AZ28" s="130">
        <f>17697*15%/18*11</f>
        <v>1622.2249999999999</v>
      </c>
      <c r="BA28" s="191">
        <f t="shared" si="9"/>
        <v>3785.1916666666662</v>
      </c>
      <c r="BB28" s="549">
        <f t="shared" si="7"/>
        <v>5407.4166666666661</v>
      </c>
      <c r="BC28" s="130"/>
      <c r="BD28" s="197"/>
      <c r="BE28" s="130"/>
      <c r="BF28" s="191">
        <f t="shared" si="11"/>
        <v>45422.3</v>
      </c>
      <c r="BG28" s="191">
        <f t="shared" si="10"/>
        <v>43800.175000000003</v>
      </c>
      <c r="BH28" s="204">
        <f t="shared" si="8"/>
        <v>1622.125</v>
      </c>
      <c r="BI28" s="415"/>
      <c r="BJ28" s="132"/>
    </row>
    <row r="29" spans="1:62" ht="9.75" customHeight="1">
      <c r="A29" s="538"/>
      <c r="B29" s="129" t="s">
        <v>9</v>
      </c>
      <c r="C29" s="129" t="s">
        <v>376</v>
      </c>
      <c r="D29" s="195" t="s">
        <v>38</v>
      </c>
      <c r="E29" s="129" t="s">
        <v>288</v>
      </c>
      <c r="F29" s="129">
        <v>9</v>
      </c>
      <c r="G29" s="129" t="s">
        <v>262</v>
      </c>
      <c r="H29" s="130" t="s">
        <v>300</v>
      </c>
      <c r="I29" s="196">
        <f t="shared" si="1"/>
        <v>0.55555555555555558</v>
      </c>
      <c r="J29" s="130">
        <v>17697</v>
      </c>
      <c r="K29" s="176">
        <v>0.3</v>
      </c>
      <c r="L29" s="191">
        <f t="shared" si="2"/>
        <v>50967.360000000001</v>
      </c>
      <c r="M29" s="130">
        <v>18</v>
      </c>
      <c r="N29" s="130">
        <v>18</v>
      </c>
      <c r="O29" s="136"/>
      <c r="P29" s="130">
        <v>10</v>
      </c>
      <c r="Q29" s="130"/>
      <c r="R29" s="189">
        <f>L29/M29*O29</f>
        <v>0</v>
      </c>
      <c r="S29" s="191">
        <f>L29/M29*P29</f>
        <v>28315.200000000001</v>
      </c>
      <c r="T29" s="191">
        <f>L29/M29*Q29</f>
        <v>0</v>
      </c>
      <c r="U29" s="191">
        <f>(R29+S29+T29)*25%</f>
        <v>7078.8</v>
      </c>
      <c r="V29" s="176">
        <v>0.1</v>
      </c>
      <c r="W29" s="176">
        <v>0.2</v>
      </c>
      <c r="X29" s="177">
        <v>0.125</v>
      </c>
      <c r="Y29" s="176">
        <v>0.25</v>
      </c>
      <c r="Z29" s="178">
        <v>0.15</v>
      </c>
      <c r="AA29" s="178">
        <v>0.3</v>
      </c>
      <c r="AB29" s="130"/>
      <c r="AC29" s="130"/>
      <c r="AD29" s="130">
        <v>10</v>
      </c>
      <c r="AE29" s="130"/>
      <c r="AF29" s="130"/>
      <c r="AG29" s="130"/>
      <c r="AH29" s="130"/>
      <c r="AI29" s="182"/>
      <c r="AJ29" s="188">
        <f>J29*V29/M29*AD29</f>
        <v>983.16666666666663</v>
      </c>
      <c r="AK29" s="188">
        <f>J29*W29/M29*AE29</f>
        <v>0</v>
      </c>
      <c r="AL29" s="190">
        <f>J29*V29/M29*AF29</f>
        <v>0</v>
      </c>
      <c r="AM29" s="188"/>
      <c r="AN29" s="130"/>
      <c r="AO29" s="182"/>
      <c r="AP29" s="130"/>
      <c r="AQ29" s="130"/>
      <c r="AR29" s="130"/>
      <c r="AS29" s="130"/>
      <c r="AT29" s="130"/>
      <c r="AU29" s="130"/>
      <c r="AV29" s="130"/>
      <c r="AW29" s="194"/>
      <c r="AX29" s="130">
        <v>2655</v>
      </c>
      <c r="AY29" s="130"/>
      <c r="AZ29" s="130">
        <f>17697*10%/18*10</f>
        <v>983.16666666666663</v>
      </c>
      <c r="BA29" s="191">
        <f t="shared" si="9"/>
        <v>1966.3333333333335</v>
      </c>
      <c r="BB29" s="549">
        <f t="shared" si="7"/>
        <v>2949.5</v>
      </c>
      <c r="BC29" s="130"/>
      <c r="BD29" s="197">
        <v>3539</v>
      </c>
      <c r="BE29" s="130"/>
      <c r="BF29" s="191">
        <f t="shared" si="11"/>
        <v>45520.666666666664</v>
      </c>
      <c r="BG29" s="191">
        <f t="shared" si="10"/>
        <v>44537.599999999999</v>
      </c>
      <c r="BH29" s="204">
        <f t="shared" si="8"/>
        <v>983.0666666666657</v>
      </c>
      <c r="BI29" s="415"/>
      <c r="BJ29" s="132"/>
    </row>
    <row r="30" spans="1:62" ht="9.75" customHeight="1">
      <c r="A30" s="538">
        <v>15</v>
      </c>
      <c r="B30" s="129" t="s">
        <v>12</v>
      </c>
      <c r="C30" s="129" t="s">
        <v>405</v>
      </c>
      <c r="D30" s="195" t="s">
        <v>39</v>
      </c>
      <c r="E30" s="129" t="s">
        <v>288</v>
      </c>
      <c r="F30" s="129">
        <v>9</v>
      </c>
      <c r="G30" s="129" t="s">
        <v>156</v>
      </c>
      <c r="H30" s="130"/>
      <c r="I30" s="196">
        <f t="shared" si="1"/>
        <v>0.33333333333333331</v>
      </c>
      <c r="J30" s="130">
        <v>17697</v>
      </c>
      <c r="K30" s="176"/>
      <c r="L30" s="191">
        <f>J30*2.78</f>
        <v>49197.659999999996</v>
      </c>
      <c r="M30" s="130">
        <v>18</v>
      </c>
      <c r="N30" s="130">
        <v>18</v>
      </c>
      <c r="O30" s="136">
        <v>4</v>
      </c>
      <c r="P30" s="130">
        <v>2</v>
      </c>
      <c r="Q30" s="130"/>
      <c r="R30" s="189">
        <f t="shared" si="3"/>
        <v>10932.813333333332</v>
      </c>
      <c r="S30" s="191">
        <f t="shared" si="4"/>
        <v>5466.4066666666658</v>
      </c>
      <c r="T30" s="191">
        <f t="shared" si="5"/>
        <v>0</v>
      </c>
      <c r="U30" s="191">
        <f t="shared" si="6"/>
        <v>4099.8049999999994</v>
      </c>
      <c r="V30" s="176">
        <v>0.1</v>
      </c>
      <c r="W30" s="176">
        <v>0.2</v>
      </c>
      <c r="X30" s="177">
        <v>0.125</v>
      </c>
      <c r="Y30" s="176">
        <v>0.25</v>
      </c>
      <c r="Z30" s="178">
        <v>0.15</v>
      </c>
      <c r="AA30" s="178">
        <v>0.3</v>
      </c>
      <c r="AB30" s="130">
        <v>4</v>
      </c>
      <c r="AC30" s="130"/>
      <c r="AD30" s="130"/>
      <c r="AE30" s="130"/>
      <c r="AF30" s="130"/>
      <c r="AG30" s="130"/>
      <c r="AH30" s="191">
        <f>J30*X30/N30*AB30</f>
        <v>491.58333333333331</v>
      </c>
      <c r="AI30" s="188">
        <f>J30*Y30/N30*AC30</f>
        <v>0</v>
      </c>
      <c r="AJ30" s="188">
        <f>J30*X30/M30*AD30</f>
        <v>0</v>
      </c>
      <c r="AK30" s="188">
        <f>J30*Y30/M30*AE30</f>
        <v>0</v>
      </c>
      <c r="AL30" s="190">
        <f>J30*X30/M30*AF30</f>
        <v>0</v>
      </c>
      <c r="AM30" s="188">
        <f>J30*Y30/M30*AG30</f>
        <v>0</v>
      </c>
      <c r="AN30" s="130">
        <v>4</v>
      </c>
      <c r="AO30" s="188">
        <f>J30*Y30/N30*AN30</f>
        <v>983.16666666666663</v>
      </c>
      <c r="AP30" s="130">
        <v>2</v>
      </c>
      <c r="AQ30" s="191">
        <f>J30*Y30/M30*AP30</f>
        <v>491.58333333333331</v>
      </c>
      <c r="AR30" s="130"/>
      <c r="AS30" s="191"/>
      <c r="AT30" s="130"/>
      <c r="AU30" s="130"/>
      <c r="AV30" s="130"/>
      <c r="AW30" s="194"/>
      <c r="AX30" s="130"/>
      <c r="AY30" s="130"/>
      <c r="AZ30" s="130"/>
      <c r="BA30" s="191">
        <f t="shared" si="9"/>
        <v>0</v>
      </c>
      <c r="BB30" s="549">
        <f t="shared" si="7"/>
        <v>0</v>
      </c>
      <c r="BC30" s="130"/>
      <c r="BD30" s="136"/>
      <c r="BE30" s="130"/>
      <c r="BF30" s="191">
        <f t="shared" si="11"/>
        <v>22465.35833333333</v>
      </c>
      <c r="BG30" s="191">
        <f>S30+T30+U30+V30+AI30++AJ30+AK30+AL30+AM30+AO30+AQ30+AS30+AT30+AU30+AV30+AW30+AX30+AY30+BA30+BD30+BE30+BC30+R30+AH30</f>
        <v>22465.458333333332</v>
      </c>
      <c r="BH30" s="204">
        <f t="shared" si="8"/>
        <v>-0.10000000000218279</v>
      </c>
      <c r="BI30" s="415"/>
      <c r="BJ30" s="132"/>
    </row>
    <row r="31" spans="1:62" ht="9.75" customHeight="1">
      <c r="A31" s="538">
        <v>16</v>
      </c>
      <c r="B31" s="129" t="s">
        <v>40</v>
      </c>
      <c r="C31" s="129" t="s">
        <v>392</v>
      </c>
      <c r="D31" s="195" t="s">
        <v>41</v>
      </c>
      <c r="E31" s="129" t="s">
        <v>288</v>
      </c>
      <c r="F31" s="129">
        <v>9</v>
      </c>
      <c r="G31" s="129" t="s">
        <v>247</v>
      </c>
      <c r="H31" s="130" t="s">
        <v>374</v>
      </c>
      <c r="I31" s="196">
        <f t="shared" si="1"/>
        <v>1.1111111111111112</v>
      </c>
      <c r="J31" s="130">
        <v>17697</v>
      </c>
      <c r="K31" s="176">
        <v>0.5</v>
      </c>
      <c r="L31" s="191">
        <f t="shared" si="2"/>
        <v>50967.360000000001</v>
      </c>
      <c r="M31" s="130">
        <v>18</v>
      </c>
      <c r="N31" s="130">
        <v>18</v>
      </c>
      <c r="O31" s="136">
        <v>20</v>
      </c>
      <c r="P31" s="130"/>
      <c r="Q31" s="130"/>
      <c r="R31" s="189">
        <f t="shared" si="3"/>
        <v>56630.400000000001</v>
      </c>
      <c r="S31" s="191">
        <f t="shared" si="4"/>
        <v>0</v>
      </c>
      <c r="T31" s="191">
        <f t="shared" si="5"/>
        <v>0</v>
      </c>
      <c r="U31" s="191">
        <f t="shared" si="6"/>
        <v>14157.6</v>
      </c>
      <c r="V31" s="176">
        <v>0.1</v>
      </c>
      <c r="W31" s="176">
        <v>0.2</v>
      </c>
      <c r="X31" s="177">
        <v>0.125</v>
      </c>
      <c r="Y31" s="176">
        <v>0.25</v>
      </c>
      <c r="Z31" s="178">
        <v>0.15</v>
      </c>
      <c r="AA31" s="178">
        <v>0.3</v>
      </c>
      <c r="AB31" s="130">
        <v>18</v>
      </c>
      <c r="AC31" s="130"/>
      <c r="AD31" s="130"/>
      <c r="AE31" s="130"/>
      <c r="AF31" s="130"/>
      <c r="AG31" s="130"/>
      <c r="AH31" s="189">
        <f>J31*V31/M31*AB31</f>
        <v>1769.6999999999998</v>
      </c>
      <c r="AI31" s="130"/>
      <c r="AJ31" s="130"/>
      <c r="AK31" s="130"/>
      <c r="AL31" s="130"/>
      <c r="AM31" s="130"/>
      <c r="AN31" s="130"/>
      <c r="AO31" s="130"/>
      <c r="AP31" s="130"/>
      <c r="AQ31" s="191"/>
      <c r="AR31" s="130"/>
      <c r="AS31" s="191"/>
      <c r="AT31" s="130">
        <v>2212</v>
      </c>
      <c r="AU31" s="130"/>
      <c r="AV31" s="130"/>
      <c r="AW31" s="130"/>
      <c r="AX31" s="130"/>
      <c r="AY31" s="130"/>
      <c r="AZ31" s="130">
        <f>17697*15%/18*20</f>
        <v>2949.5</v>
      </c>
      <c r="BA31" s="191">
        <f t="shared" si="9"/>
        <v>6882.1666666666661</v>
      </c>
      <c r="BB31" s="549">
        <f t="shared" si="7"/>
        <v>9831.6666666666661</v>
      </c>
      <c r="BC31" s="130"/>
      <c r="BD31" s="197"/>
      <c r="BE31" s="130"/>
      <c r="BF31" s="191">
        <f t="shared" si="11"/>
        <v>84601.366666666669</v>
      </c>
      <c r="BG31" s="191">
        <f t="shared" ref="BG31:BG44" si="12">S31+T31+U31+V31+AI31++AJ31+AK31+AL31+AM31+AO31+AQ31+AS31+AT31+AU31+AV31+AW31+AX31+AY31+BA31+BD31+BE31+BC31+R31+AH31</f>
        <v>81651.96666666666</v>
      </c>
      <c r="BH31" s="204">
        <f t="shared" si="8"/>
        <v>2949.4000000000087</v>
      </c>
      <c r="BI31" s="415"/>
      <c r="BJ31" s="132"/>
    </row>
    <row r="32" spans="1:62" ht="9.75" customHeight="1">
      <c r="A32" s="538">
        <v>17</v>
      </c>
      <c r="B32" s="129" t="s">
        <v>42</v>
      </c>
      <c r="C32" s="129" t="s">
        <v>33</v>
      </c>
      <c r="D32" s="195" t="s">
        <v>43</v>
      </c>
      <c r="E32" s="129" t="s">
        <v>288</v>
      </c>
      <c r="F32" s="129">
        <v>9</v>
      </c>
      <c r="G32" s="129" t="s">
        <v>250</v>
      </c>
      <c r="H32" s="130" t="s">
        <v>300</v>
      </c>
      <c r="I32" s="196">
        <f t="shared" si="1"/>
        <v>0.44444444444444442</v>
      </c>
      <c r="J32" s="130">
        <v>17697</v>
      </c>
      <c r="K32" s="176">
        <v>0.3</v>
      </c>
      <c r="L32" s="191">
        <f>J32*2.83</f>
        <v>50082.51</v>
      </c>
      <c r="M32" s="130">
        <v>18</v>
      </c>
      <c r="N32" s="130">
        <v>18</v>
      </c>
      <c r="O32" s="136"/>
      <c r="P32" s="130">
        <v>6</v>
      </c>
      <c r="Q32" s="130">
        <v>2</v>
      </c>
      <c r="R32" s="189">
        <f t="shared" si="3"/>
        <v>0</v>
      </c>
      <c r="S32" s="191">
        <f t="shared" si="4"/>
        <v>16694.169999999998</v>
      </c>
      <c r="T32" s="191">
        <f t="shared" si="5"/>
        <v>5564.7233333333334</v>
      </c>
      <c r="U32" s="191">
        <f t="shared" si="6"/>
        <v>5564.7233333333334</v>
      </c>
      <c r="V32" s="176">
        <v>0.1</v>
      </c>
      <c r="W32" s="176">
        <v>0.2</v>
      </c>
      <c r="X32" s="177">
        <v>0.125</v>
      </c>
      <c r="Y32" s="176">
        <v>0.25</v>
      </c>
      <c r="Z32" s="178">
        <v>0.15</v>
      </c>
      <c r="AA32" s="178">
        <v>0.1</v>
      </c>
      <c r="AB32" s="130"/>
      <c r="AC32" s="130"/>
      <c r="AD32" s="130"/>
      <c r="AE32" s="130"/>
      <c r="AF32" s="130"/>
      <c r="AG32" s="130"/>
      <c r="AH32" s="130"/>
      <c r="AI32" s="130"/>
      <c r="AJ32" s="188"/>
      <c r="AK32" s="188"/>
      <c r="AL32" s="190"/>
      <c r="AM32" s="188"/>
      <c r="AN32" s="130"/>
      <c r="AO32" s="130"/>
      <c r="AP32" s="130"/>
      <c r="AQ32" s="191"/>
      <c r="AR32" s="130"/>
      <c r="AS32" s="191"/>
      <c r="AT32" s="130"/>
      <c r="AU32" s="130"/>
      <c r="AV32" s="130"/>
      <c r="AW32" s="130"/>
      <c r="AX32" s="130"/>
      <c r="AY32" s="130"/>
      <c r="AZ32" s="130">
        <f>17697*10%/18*8</f>
        <v>786.5333333333333</v>
      </c>
      <c r="BA32" s="191">
        <f t="shared" si="9"/>
        <v>1573.0666666666666</v>
      </c>
      <c r="BB32" s="549">
        <f t="shared" si="7"/>
        <v>2359.6</v>
      </c>
      <c r="BC32" s="191">
        <v>1770</v>
      </c>
      <c r="BD32" s="130"/>
      <c r="BE32" s="130"/>
      <c r="BF32" s="191">
        <f t="shared" si="11"/>
        <v>31953.216666666667</v>
      </c>
      <c r="BG32" s="191">
        <f t="shared" si="12"/>
        <v>31166.783333333333</v>
      </c>
      <c r="BH32" s="204">
        <f t="shared" si="8"/>
        <v>786.4333333333343</v>
      </c>
      <c r="BI32" s="415"/>
      <c r="BJ32" s="132"/>
    </row>
    <row r="33" spans="1:62" ht="9.75" customHeight="1">
      <c r="A33" s="538"/>
      <c r="B33" s="129" t="s">
        <v>42</v>
      </c>
      <c r="C33" s="129" t="s">
        <v>44</v>
      </c>
      <c r="D33" s="195" t="s">
        <v>43</v>
      </c>
      <c r="E33" s="129" t="s">
        <v>288</v>
      </c>
      <c r="F33" s="129">
        <v>9</v>
      </c>
      <c r="G33" s="129" t="s">
        <v>250</v>
      </c>
      <c r="H33" s="130"/>
      <c r="I33" s="196">
        <f t="shared" si="1"/>
        <v>0.33333333333333331</v>
      </c>
      <c r="J33" s="130">
        <v>17697</v>
      </c>
      <c r="K33" s="176"/>
      <c r="L33" s="191">
        <f>J33*2.83</f>
        <v>50082.51</v>
      </c>
      <c r="M33" s="130">
        <v>18</v>
      </c>
      <c r="N33" s="130">
        <v>18</v>
      </c>
      <c r="O33" s="136">
        <v>4</v>
      </c>
      <c r="P33" s="130">
        <v>2</v>
      </c>
      <c r="Q33" s="130"/>
      <c r="R33" s="189">
        <f t="shared" si="3"/>
        <v>11129.446666666667</v>
      </c>
      <c r="S33" s="191">
        <f t="shared" si="4"/>
        <v>5564.7233333333334</v>
      </c>
      <c r="T33" s="191">
        <f t="shared" si="5"/>
        <v>0</v>
      </c>
      <c r="U33" s="191">
        <f t="shared" si="6"/>
        <v>4173.5424999999996</v>
      </c>
      <c r="V33" s="176">
        <v>0.1</v>
      </c>
      <c r="W33" s="176">
        <v>0.2</v>
      </c>
      <c r="X33" s="177">
        <v>0.125</v>
      </c>
      <c r="Y33" s="176">
        <v>0.25</v>
      </c>
      <c r="Z33" s="178">
        <v>0.15</v>
      </c>
      <c r="AA33" s="178">
        <v>0.1</v>
      </c>
      <c r="AB33" s="130"/>
      <c r="AC33" s="130"/>
      <c r="AD33" s="130"/>
      <c r="AE33" s="130"/>
      <c r="AF33" s="130"/>
      <c r="AG33" s="130"/>
      <c r="AH33" s="130"/>
      <c r="AI33" s="130"/>
      <c r="AJ33" s="188"/>
      <c r="AK33" s="188"/>
      <c r="AL33" s="190"/>
      <c r="AM33" s="188"/>
      <c r="AN33" s="130"/>
      <c r="AO33" s="130"/>
      <c r="AP33" s="130"/>
      <c r="AQ33" s="191"/>
      <c r="AR33" s="130"/>
      <c r="AS33" s="191"/>
      <c r="AT33" s="130"/>
      <c r="AU33" s="130"/>
      <c r="AV33" s="130"/>
      <c r="AW33" s="130"/>
      <c r="AX33" s="130"/>
      <c r="AY33" s="130"/>
      <c r="AZ33" s="130"/>
      <c r="BA33" s="191">
        <f t="shared" si="9"/>
        <v>0</v>
      </c>
      <c r="BB33" s="549">
        <f t="shared" si="7"/>
        <v>0</v>
      </c>
      <c r="BC33" s="191"/>
      <c r="BD33" s="130"/>
      <c r="BE33" s="130"/>
      <c r="BF33" s="191">
        <f t="shared" si="11"/>
        <v>20867.712499999998</v>
      </c>
      <c r="BG33" s="191">
        <f t="shared" si="12"/>
        <v>20867.8125</v>
      </c>
      <c r="BH33" s="204">
        <f t="shared" si="8"/>
        <v>-0.10000000000218279</v>
      </c>
      <c r="BI33" s="415"/>
      <c r="BJ33" s="132"/>
    </row>
    <row r="34" spans="1:62" ht="9.75" customHeight="1">
      <c r="A34" s="538"/>
      <c r="B34" s="129" t="s">
        <v>42</v>
      </c>
      <c r="C34" s="129" t="s">
        <v>387</v>
      </c>
      <c r="D34" s="195" t="s">
        <v>43</v>
      </c>
      <c r="E34" s="129" t="s">
        <v>288</v>
      </c>
      <c r="F34" s="129">
        <v>9</v>
      </c>
      <c r="G34" s="129" t="s">
        <v>250</v>
      </c>
      <c r="H34" s="130"/>
      <c r="I34" s="196">
        <f t="shared" si="1"/>
        <v>0.1111111111111111</v>
      </c>
      <c r="J34" s="130">
        <v>17697</v>
      </c>
      <c r="K34" s="176"/>
      <c r="L34" s="191">
        <f>J34*2.83</f>
        <v>50082.51</v>
      </c>
      <c r="M34" s="130">
        <v>18</v>
      </c>
      <c r="N34" s="130">
        <v>18</v>
      </c>
      <c r="O34" s="136"/>
      <c r="P34" s="130">
        <v>2</v>
      </c>
      <c r="Q34" s="130"/>
      <c r="R34" s="189">
        <f t="shared" si="3"/>
        <v>0</v>
      </c>
      <c r="S34" s="191">
        <f t="shared" si="4"/>
        <v>5564.7233333333334</v>
      </c>
      <c r="T34" s="191">
        <f t="shared" si="5"/>
        <v>0</v>
      </c>
      <c r="U34" s="191">
        <f>(R34+S34+T34)*25%</f>
        <v>1391.1808333333333</v>
      </c>
      <c r="V34" s="176">
        <v>0.1</v>
      </c>
      <c r="W34" s="176">
        <v>0.2</v>
      </c>
      <c r="X34" s="177">
        <v>0.125</v>
      </c>
      <c r="Y34" s="176">
        <v>0.25</v>
      </c>
      <c r="Z34" s="178">
        <v>0.15</v>
      </c>
      <c r="AA34" s="178">
        <v>0.1</v>
      </c>
      <c r="AB34" s="130"/>
      <c r="AC34" s="130"/>
      <c r="AD34" s="130">
        <v>2</v>
      </c>
      <c r="AE34" s="130"/>
      <c r="AF34" s="130"/>
      <c r="AG34" s="130"/>
      <c r="AH34" s="130"/>
      <c r="AI34" s="130"/>
      <c r="AJ34" s="188">
        <f>J34*V34/M34*AD34</f>
        <v>196.63333333333333</v>
      </c>
      <c r="AK34" s="188"/>
      <c r="AL34" s="190"/>
      <c r="AM34" s="188"/>
      <c r="AN34" s="130"/>
      <c r="AO34" s="130"/>
      <c r="AP34" s="130"/>
      <c r="AQ34" s="191"/>
      <c r="AR34" s="130"/>
      <c r="AS34" s="191"/>
      <c r="AT34" s="130"/>
      <c r="AU34" s="130"/>
      <c r="AV34" s="130"/>
      <c r="AW34" s="130"/>
      <c r="AX34" s="130"/>
      <c r="AY34" s="130"/>
      <c r="AZ34" s="130"/>
      <c r="BA34" s="191">
        <f t="shared" si="9"/>
        <v>0</v>
      </c>
      <c r="BB34" s="549">
        <f t="shared" si="7"/>
        <v>0</v>
      </c>
      <c r="BC34" s="191"/>
      <c r="BD34" s="130"/>
      <c r="BE34" s="130"/>
      <c r="BF34" s="191">
        <f t="shared" si="11"/>
        <v>7152.5375000000004</v>
      </c>
      <c r="BG34" s="191">
        <f t="shared" si="12"/>
        <v>7152.6375000000007</v>
      </c>
      <c r="BH34" s="204">
        <f t="shared" si="8"/>
        <v>-0.1000000000003638</v>
      </c>
      <c r="BI34" s="415"/>
      <c r="BJ34" s="132"/>
    </row>
    <row r="35" spans="1:62" ht="9.75" customHeight="1">
      <c r="A35" s="538">
        <v>18</v>
      </c>
      <c r="B35" s="129" t="s">
        <v>45</v>
      </c>
      <c r="C35" s="129" t="s">
        <v>372</v>
      </c>
      <c r="D35" s="195" t="s">
        <v>46</v>
      </c>
      <c r="E35" s="129" t="s">
        <v>288</v>
      </c>
      <c r="F35" s="129">
        <v>9</v>
      </c>
      <c r="G35" s="129" t="s">
        <v>249</v>
      </c>
      <c r="H35" s="130" t="s">
        <v>374</v>
      </c>
      <c r="I35" s="196">
        <f t="shared" si="1"/>
        <v>1.0555555555555556</v>
      </c>
      <c r="J35" s="130">
        <v>17697</v>
      </c>
      <c r="K35" s="176">
        <v>0.5</v>
      </c>
      <c r="L35" s="191">
        <f t="shared" si="2"/>
        <v>50967.360000000001</v>
      </c>
      <c r="M35" s="130">
        <v>18</v>
      </c>
      <c r="N35" s="130">
        <v>18</v>
      </c>
      <c r="O35" s="136"/>
      <c r="P35" s="130">
        <v>13</v>
      </c>
      <c r="Q35" s="130">
        <v>6</v>
      </c>
      <c r="R35" s="189">
        <f t="shared" si="3"/>
        <v>0</v>
      </c>
      <c r="S35" s="191">
        <f t="shared" si="4"/>
        <v>36809.760000000002</v>
      </c>
      <c r="T35" s="191">
        <f t="shared" si="5"/>
        <v>16989.12</v>
      </c>
      <c r="U35" s="191">
        <f t="shared" si="6"/>
        <v>13449.720000000001</v>
      </c>
      <c r="V35" s="176">
        <v>0.1</v>
      </c>
      <c r="W35" s="176">
        <v>0.2</v>
      </c>
      <c r="X35" s="177">
        <v>0.125</v>
      </c>
      <c r="Y35" s="176">
        <v>0.25</v>
      </c>
      <c r="Z35" s="178">
        <v>0.15</v>
      </c>
      <c r="AA35" s="178">
        <v>0.3</v>
      </c>
      <c r="AB35" s="130"/>
      <c r="AC35" s="130"/>
      <c r="AD35" s="130"/>
      <c r="AE35" s="130"/>
      <c r="AF35" s="130"/>
      <c r="AG35" s="130"/>
      <c r="AH35" s="130"/>
      <c r="AI35" s="130"/>
      <c r="AJ35" s="188"/>
      <c r="AK35" s="130"/>
      <c r="AL35" s="130"/>
      <c r="AM35" s="130"/>
      <c r="AN35" s="130"/>
      <c r="AO35" s="130"/>
      <c r="AP35" s="130"/>
      <c r="AQ35" s="191"/>
      <c r="AR35" s="130"/>
      <c r="AS35" s="191"/>
      <c r="AT35" s="130"/>
      <c r="AU35" s="130"/>
      <c r="AV35" s="130"/>
      <c r="AW35" s="130"/>
      <c r="AX35" s="130"/>
      <c r="AY35" s="130"/>
      <c r="AZ35" s="130">
        <f>17697*15%/18*19</f>
        <v>2802.0250000000001</v>
      </c>
      <c r="BA35" s="191">
        <f t="shared" si="9"/>
        <v>6538.0583333333325</v>
      </c>
      <c r="BB35" s="549">
        <f t="shared" si="7"/>
        <v>9340.0833333333321</v>
      </c>
      <c r="BC35" s="191"/>
      <c r="BD35" s="130"/>
      <c r="BE35" s="130"/>
      <c r="BF35" s="191">
        <f t="shared" si="11"/>
        <v>76588.683333333334</v>
      </c>
      <c r="BG35" s="191">
        <f t="shared" si="12"/>
        <v>73786.758333333346</v>
      </c>
      <c r="BH35" s="204">
        <f t="shared" si="8"/>
        <v>2801.9249999999884</v>
      </c>
      <c r="BI35" s="415"/>
      <c r="BJ35" s="132"/>
    </row>
    <row r="36" spans="1:62" ht="9.75" customHeight="1">
      <c r="A36" s="538">
        <v>19</v>
      </c>
      <c r="B36" s="129" t="s">
        <v>252</v>
      </c>
      <c r="C36" s="129" t="s">
        <v>402</v>
      </c>
      <c r="D36" s="195" t="s">
        <v>47</v>
      </c>
      <c r="E36" s="129" t="s">
        <v>288</v>
      </c>
      <c r="F36" s="129">
        <v>9</v>
      </c>
      <c r="G36" s="129" t="s">
        <v>456</v>
      </c>
      <c r="H36" s="130"/>
      <c r="I36" s="196">
        <f t="shared" si="1"/>
        <v>0.16666666666666666</v>
      </c>
      <c r="J36" s="130">
        <v>17697</v>
      </c>
      <c r="K36" s="176"/>
      <c r="L36" s="191">
        <v>50083</v>
      </c>
      <c r="M36" s="130">
        <v>18</v>
      </c>
      <c r="N36" s="130">
        <v>18</v>
      </c>
      <c r="O36" s="136"/>
      <c r="P36" s="130">
        <v>1</v>
      </c>
      <c r="Q36" s="130">
        <v>2</v>
      </c>
      <c r="R36" s="189">
        <f t="shared" si="3"/>
        <v>0</v>
      </c>
      <c r="S36" s="191">
        <f t="shared" si="4"/>
        <v>2782.3888888888887</v>
      </c>
      <c r="T36" s="191">
        <f t="shared" si="5"/>
        <v>5564.7777777777774</v>
      </c>
      <c r="U36" s="191">
        <f t="shared" si="6"/>
        <v>2086.7916666666665</v>
      </c>
      <c r="V36" s="176">
        <v>0.1</v>
      </c>
      <c r="W36" s="176">
        <v>0.2</v>
      </c>
      <c r="X36" s="177">
        <v>0.125</v>
      </c>
      <c r="Y36" s="176">
        <v>0.25</v>
      </c>
      <c r="Z36" s="178">
        <v>0.15</v>
      </c>
      <c r="AA36" s="178">
        <v>0.3</v>
      </c>
      <c r="AB36" s="130"/>
      <c r="AC36" s="130"/>
      <c r="AD36" s="130"/>
      <c r="AE36" s="130"/>
      <c r="AF36" s="130"/>
      <c r="AG36" s="130"/>
      <c r="AH36" s="130"/>
      <c r="AI36" s="130"/>
      <c r="AJ36" s="188"/>
      <c r="AK36" s="130"/>
      <c r="AL36" s="130"/>
      <c r="AM36" s="130"/>
      <c r="AN36" s="130"/>
      <c r="AO36" s="130"/>
      <c r="AP36" s="130"/>
      <c r="AQ36" s="191"/>
      <c r="AR36" s="130"/>
      <c r="AS36" s="191"/>
      <c r="AT36" s="130"/>
      <c r="AU36" s="130"/>
      <c r="AV36" s="191"/>
      <c r="AW36" s="130"/>
      <c r="AX36" s="130"/>
      <c r="AY36" s="130"/>
      <c r="AZ36" s="130"/>
      <c r="BA36" s="191">
        <f t="shared" si="9"/>
        <v>0</v>
      </c>
      <c r="BB36" s="549">
        <f t="shared" si="7"/>
        <v>0</v>
      </c>
      <c r="BC36" s="191"/>
      <c r="BD36" s="130"/>
      <c r="BE36" s="130"/>
      <c r="BF36" s="191">
        <f t="shared" si="11"/>
        <v>10433.958333333332</v>
      </c>
      <c r="BG36" s="191">
        <f t="shared" si="12"/>
        <v>10434.058333333332</v>
      </c>
      <c r="BH36" s="204">
        <f t="shared" si="8"/>
        <v>-0.1000000000003638</v>
      </c>
      <c r="BI36" s="415"/>
      <c r="BJ36" s="132"/>
    </row>
    <row r="37" spans="1:62" ht="9.75" customHeight="1">
      <c r="A37" s="538">
        <v>20</v>
      </c>
      <c r="B37" s="129" t="s">
        <v>48</v>
      </c>
      <c r="C37" s="129" t="s">
        <v>405</v>
      </c>
      <c r="D37" s="195" t="s">
        <v>49</v>
      </c>
      <c r="E37" s="129" t="s">
        <v>288</v>
      </c>
      <c r="F37" s="129">
        <v>9</v>
      </c>
      <c r="G37" s="129" t="s">
        <v>237</v>
      </c>
      <c r="H37" s="130" t="s">
        <v>374</v>
      </c>
      <c r="I37" s="196">
        <f t="shared" si="1"/>
        <v>1.2222222222222223</v>
      </c>
      <c r="J37" s="130">
        <v>17697</v>
      </c>
      <c r="K37" s="176">
        <v>0.5</v>
      </c>
      <c r="L37" s="191">
        <f t="shared" si="2"/>
        <v>50967.360000000001</v>
      </c>
      <c r="M37" s="130">
        <v>18</v>
      </c>
      <c r="N37" s="130">
        <v>18</v>
      </c>
      <c r="O37" s="136"/>
      <c r="P37" s="130">
        <v>15</v>
      </c>
      <c r="Q37" s="130">
        <v>7</v>
      </c>
      <c r="R37" s="189">
        <f t="shared" si="3"/>
        <v>0</v>
      </c>
      <c r="S37" s="191">
        <f t="shared" si="4"/>
        <v>42472.800000000003</v>
      </c>
      <c r="T37" s="191">
        <f t="shared" si="5"/>
        <v>19820.64</v>
      </c>
      <c r="U37" s="191">
        <f t="shared" si="6"/>
        <v>15573.36</v>
      </c>
      <c r="V37" s="176">
        <v>0.1</v>
      </c>
      <c r="W37" s="176">
        <v>0.2</v>
      </c>
      <c r="X37" s="177">
        <v>0.125</v>
      </c>
      <c r="Y37" s="176">
        <v>0.25</v>
      </c>
      <c r="Z37" s="178">
        <v>0.15</v>
      </c>
      <c r="AA37" s="178">
        <v>0.3</v>
      </c>
      <c r="AB37" s="130"/>
      <c r="AC37" s="130"/>
      <c r="AD37" s="130">
        <v>15</v>
      </c>
      <c r="AE37" s="130"/>
      <c r="AF37" s="130">
        <v>6</v>
      </c>
      <c r="AG37" s="130"/>
      <c r="AH37" s="130"/>
      <c r="AI37" s="130"/>
      <c r="AJ37" s="188">
        <f>J37*X37/M37*AD37</f>
        <v>1843.4375</v>
      </c>
      <c r="AK37" s="130"/>
      <c r="AL37" s="190">
        <f>J37*X37/M37*AF37</f>
        <v>737.375</v>
      </c>
      <c r="AM37" s="130"/>
      <c r="AN37" s="130"/>
      <c r="AO37" s="130"/>
      <c r="AP37" s="130">
        <v>15</v>
      </c>
      <c r="AQ37" s="191">
        <f>J37*Y37/M37*AP37</f>
        <v>3686.875</v>
      </c>
      <c r="AR37" s="130">
        <v>7</v>
      </c>
      <c r="AS37" s="191">
        <f>J37*Y37/M37*AR37</f>
        <v>1720.5416666666665</v>
      </c>
      <c r="AT37" s="130"/>
      <c r="AU37" s="130"/>
      <c r="AV37" s="191">
        <v>2655</v>
      </c>
      <c r="AW37" s="130"/>
      <c r="AX37" s="130"/>
      <c r="AY37" s="130"/>
      <c r="AZ37" s="130">
        <f>17697*15%/18*22</f>
        <v>3244.45</v>
      </c>
      <c r="BA37" s="191">
        <f t="shared" si="9"/>
        <v>7570.3833333333323</v>
      </c>
      <c r="BB37" s="549">
        <f t="shared" si="7"/>
        <v>10814.833333333332</v>
      </c>
      <c r="BC37" s="191"/>
      <c r="BD37" s="197">
        <v>3539</v>
      </c>
      <c r="BE37" s="130"/>
      <c r="BF37" s="191">
        <f t="shared" si="11"/>
        <v>102863.8625</v>
      </c>
      <c r="BG37" s="191">
        <f t="shared" si="12"/>
        <v>99619.512500000012</v>
      </c>
      <c r="BH37" s="204">
        <f t="shared" si="8"/>
        <v>3244.3499999999913</v>
      </c>
      <c r="BI37" s="415"/>
      <c r="BJ37" s="132"/>
    </row>
    <row r="38" spans="1:62" ht="9.75" customHeight="1">
      <c r="A38" s="538">
        <v>21</v>
      </c>
      <c r="B38" s="129" t="s">
        <v>409</v>
      </c>
      <c r="C38" s="129" t="s">
        <v>253</v>
      </c>
      <c r="D38" s="195" t="s">
        <v>254</v>
      </c>
      <c r="E38" s="129" t="s">
        <v>288</v>
      </c>
      <c r="F38" s="129">
        <v>9</v>
      </c>
      <c r="G38" s="129" t="s">
        <v>296</v>
      </c>
      <c r="H38" s="130"/>
      <c r="I38" s="196">
        <f t="shared" si="1"/>
        <v>1.25</v>
      </c>
      <c r="J38" s="130">
        <v>17697</v>
      </c>
      <c r="K38" s="176"/>
      <c r="L38" s="191">
        <v>44773</v>
      </c>
      <c r="M38" s="130">
        <v>18</v>
      </c>
      <c r="N38" s="130">
        <v>18</v>
      </c>
      <c r="O38" s="136"/>
      <c r="P38" s="130">
        <v>12.5</v>
      </c>
      <c r="Q38" s="130">
        <v>10</v>
      </c>
      <c r="R38" s="189">
        <f t="shared" si="3"/>
        <v>0</v>
      </c>
      <c r="S38" s="191">
        <f t="shared" si="4"/>
        <v>31092.361111111109</v>
      </c>
      <c r="T38" s="191">
        <f t="shared" si="5"/>
        <v>24873.888888888887</v>
      </c>
      <c r="U38" s="191">
        <f t="shared" si="6"/>
        <v>13991.5625</v>
      </c>
      <c r="V38" s="176">
        <v>0.1</v>
      </c>
      <c r="W38" s="176">
        <v>0.2</v>
      </c>
      <c r="X38" s="177">
        <v>0.125</v>
      </c>
      <c r="Y38" s="176">
        <v>0.25</v>
      </c>
      <c r="Z38" s="178">
        <v>0.15</v>
      </c>
      <c r="AA38" s="178">
        <v>0.3</v>
      </c>
      <c r="AB38" s="130"/>
      <c r="AC38" s="130"/>
      <c r="AD38" s="130">
        <v>12.5</v>
      </c>
      <c r="AE38" s="130"/>
      <c r="AF38" s="130">
        <v>10</v>
      </c>
      <c r="AG38" s="130"/>
      <c r="AH38" s="130">
        <f>J38*V38/M38*AB38</f>
        <v>0</v>
      </c>
      <c r="AI38" s="130"/>
      <c r="AJ38" s="188">
        <f t="shared" ref="AJ38:AJ44" si="13">J38*V38/M38*AD38</f>
        <v>1228.9583333333333</v>
      </c>
      <c r="AK38" s="188">
        <f>J38*W38/M38*AE38</f>
        <v>0</v>
      </c>
      <c r="AL38" s="190">
        <f>J38*V38/M38*AF38</f>
        <v>983.16666666666663</v>
      </c>
      <c r="AM38" s="188">
        <f>J38*W38/M38*AG38</f>
        <v>0</v>
      </c>
      <c r="AN38" s="130"/>
      <c r="AO38" s="130"/>
      <c r="AP38" s="130"/>
      <c r="AQ38" s="130"/>
      <c r="AR38" s="130"/>
      <c r="AS38" s="130"/>
      <c r="AT38" s="130"/>
      <c r="AU38" s="130"/>
      <c r="AV38" s="130"/>
      <c r="AW38" s="194"/>
      <c r="AX38" s="130"/>
      <c r="AY38" s="130"/>
      <c r="AZ38" s="130"/>
      <c r="BA38" s="191">
        <f t="shared" si="9"/>
        <v>0</v>
      </c>
      <c r="BB38" s="549">
        <f t="shared" si="7"/>
        <v>0</v>
      </c>
      <c r="BC38" s="191"/>
      <c r="BD38" s="197"/>
      <c r="BE38" s="130"/>
      <c r="BF38" s="191">
        <f t="shared" ref="BF38:BF44" si="14">R38+S38+T38+U38+AH38++AI38+AJ38+AK38+AL38+AM38+AO38+AQ38+AS38+AT38+AU38+AV38+AW38+AX38+AY38+BC38+BD38+BE38+BB38</f>
        <v>72169.9375</v>
      </c>
      <c r="BG38" s="191">
        <f t="shared" si="12"/>
        <v>72170.037500000006</v>
      </c>
      <c r="BH38" s="204">
        <f t="shared" si="8"/>
        <v>-0.10000000000582077</v>
      </c>
      <c r="BI38" s="415"/>
      <c r="BJ38" s="132"/>
    </row>
    <row r="39" spans="1:62" ht="9.75" customHeight="1">
      <c r="A39" s="538">
        <v>22</v>
      </c>
      <c r="B39" s="129" t="s">
        <v>51</v>
      </c>
      <c r="C39" s="129" t="s">
        <v>384</v>
      </c>
      <c r="D39" s="195" t="s">
        <v>52</v>
      </c>
      <c r="E39" s="129" t="s">
        <v>288</v>
      </c>
      <c r="F39" s="129">
        <v>9</v>
      </c>
      <c r="G39" s="129" t="s">
        <v>240</v>
      </c>
      <c r="H39" s="130" t="s">
        <v>300</v>
      </c>
      <c r="I39" s="196">
        <f t="shared" si="1"/>
        <v>1</v>
      </c>
      <c r="J39" s="130">
        <v>17697</v>
      </c>
      <c r="K39" s="176">
        <v>0.3</v>
      </c>
      <c r="L39" s="191">
        <f>J39*2.53</f>
        <v>44773.409999999996</v>
      </c>
      <c r="M39" s="130">
        <v>18</v>
      </c>
      <c r="N39" s="130">
        <v>18</v>
      </c>
      <c r="O39" s="136"/>
      <c r="P39" s="130">
        <v>12</v>
      </c>
      <c r="Q39" s="130">
        <v>6</v>
      </c>
      <c r="R39" s="189">
        <f t="shared" si="3"/>
        <v>0</v>
      </c>
      <c r="S39" s="191">
        <f t="shared" si="4"/>
        <v>29848.939999999995</v>
      </c>
      <c r="T39" s="191">
        <f t="shared" si="5"/>
        <v>14924.469999999998</v>
      </c>
      <c r="U39" s="191">
        <f t="shared" si="6"/>
        <v>11193.352499999997</v>
      </c>
      <c r="V39" s="176">
        <v>0.1</v>
      </c>
      <c r="W39" s="176">
        <v>0.2</v>
      </c>
      <c r="X39" s="177">
        <v>0.125</v>
      </c>
      <c r="Y39" s="176">
        <v>0.25</v>
      </c>
      <c r="Z39" s="178">
        <v>0.15</v>
      </c>
      <c r="AA39" s="178">
        <v>0.3</v>
      </c>
      <c r="AB39" s="130"/>
      <c r="AC39" s="130"/>
      <c r="AD39" s="130"/>
      <c r="AE39" s="130"/>
      <c r="AF39" s="130"/>
      <c r="AG39" s="130"/>
      <c r="AH39" s="130"/>
      <c r="AI39" s="130"/>
      <c r="AJ39" s="188">
        <f t="shared" si="13"/>
        <v>0</v>
      </c>
      <c r="AK39" s="188"/>
      <c r="AL39" s="190">
        <f>J39*V39/M39*AF39</f>
        <v>0</v>
      </c>
      <c r="AM39" s="188"/>
      <c r="AN39" s="130"/>
      <c r="AO39" s="130"/>
      <c r="AP39" s="130"/>
      <c r="AQ39" s="130"/>
      <c r="AR39" s="130"/>
      <c r="AS39" s="130"/>
      <c r="AT39" s="130"/>
      <c r="AU39" s="130"/>
      <c r="AV39" s="130"/>
      <c r="AW39" s="194"/>
      <c r="AX39" s="130"/>
      <c r="AY39" s="130"/>
      <c r="AZ39" s="130">
        <f>17697*10%</f>
        <v>1769.7</v>
      </c>
      <c r="BA39" s="191">
        <f t="shared" si="9"/>
        <v>3539.3999999999996</v>
      </c>
      <c r="BB39" s="549">
        <f t="shared" si="7"/>
        <v>5309.0999999999995</v>
      </c>
      <c r="BC39" s="191">
        <v>3982</v>
      </c>
      <c r="BD39" s="197"/>
      <c r="BE39" s="130"/>
      <c r="BF39" s="191">
        <f t="shared" si="14"/>
        <v>65257.862499999981</v>
      </c>
      <c r="BG39" s="191">
        <f t="shared" si="12"/>
        <v>63488.262499999983</v>
      </c>
      <c r="BH39" s="204">
        <f t="shared" si="8"/>
        <v>1769.5999999999985</v>
      </c>
      <c r="BI39" s="415"/>
      <c r="BJ39" s="132"/>
    </row>
    <row r="40" spans="1:62" ht="9.75" customHeight="1">
      <c r="A40" s="538">
        <v>23</v>
      </c>
      <c r="B40" s="129" t="s">
        <v>53</v>
      </c>
      <c r="C40" s="129" t="s">
        <v>376</v>
      </c>
      <c r="D40" s="195" t="s">
        <v>56</v>
      </c>
      <c r="E40" s="129" t="s">
        <v>288</v>
      </c>
      <c r="F40" s="129">
        <v>9</v>
      </c>
      <c r="G40" s="129" t="s">
        <v>106</v>
      </c>
      <c r="H40" s="130" t="s">
        <v>300</v>
      </c>
      <c r="I40" s="196">
        <f t="shared" si="1"/>
        <v>1.1666666666666667</v>
      </c>
      <c r="J40" s="130">
        <v>17697</v>
      </c>
      <c r="K40" s="176">
        <v>0.3</v>
      </c>
      <c r="L40" s="191">
        <f>J40*2.78</f>
        <v>49197.659999999996</v>
      </c>
      <c r="M40" s="130">
        <v>18</v>
      </c>
      <c r="N40" s="130">
        <v>18</v>
      </c>
      <c r="O40" s="136"/>
      <c r="P40" s="130">
        <v>12</v>
      </c>
      <c r="Q40" s="130">
        <v>9</v>
      </c>
      <c r="R40" s="189">
        <f t="shared" si="3"/>
        <v>0</v>
      </c>
      <c r="S40" s="191">
        <f t="shared" si="4"/>
        <v>32798.439999999995</v>
      </c>
      <c r="T40" s="191">
        <f t="shared" si="5"/>
        <v>24598.829999999994</v>
      </c>
      <c r="U40" s="191">
        <f t="shared" si="6"/>
        <v>14349.317499999997</v>
      </c>
      <c r="V40" s="176">
        <v>0.1</v>
      </c>
      <c r="W40" s="176">
        <v>0.2</v>
      </c>
      <c r="X40" s="177">
        <v>0.125</v>
      </c>
      <c r="Y40" s="176">
        <v>0.25</v>
      </c>
      <c r="Z40" s="178">
        <v>0.15</v>
      </c>
      <c r="AA40" s="178">
        <v>0.3</v>
      </c>
      <c r="AB40" s="130"/>
      <c r="AC40" s="130"/>
      <c r="AD40" s="130">
        <v>12</v>
      </c>
      <c r="AE40" s="130"/>
      <c r="AF40" s="130">
        <v>9</v>
      </c>
      <c r="AG40" s="130"/>
      <c r="AH40" s="130"/>
      <c r="AI40" s="130"/>
      <c r="AJ40" s="188">
        <f t="shared" si="13"/>
        <v>1179.8</v>
      </c>
      <c r="AK40" s="188"/>
      <c r="AL40" s="190">
        <f>J40*V40/M40*AF40</f>
        <v>884.84999999999991</v>
      </c>
      <c r="AM40" s="188"/>
      <c r="AN40" s="130"/>
      <c r="AO40" s="130"/>
      <c r="AP40" s="130"/>
      <c r="AQ40" s="130"/>
      <c r="AR40" s="130"/>
      <c r="AS40" s="130"/>
      <c r="AT40" s="130"/>
      <c r="AU40" s="130"/>
      <c r="AV40" s="130"/>
      <c r="AW40" s="194"/>
      <c r="AX40" s="130"/>
      <c r="AY40" s="130"/>
      <c r="AZ40" s="130">
        <f>17697*10%/18*21</f>
        <v>2064.65</v>
      </c>
      <c r="BA40" s="191">
        <f t="shared" si="9"/>
        <v>4129.2999999999993</v>
      </c>
      <c r="BB40" s="549">
        <f t="shared" si="7"/>
        <v>6193.95</v>
      </c>
      <c r="BC40" s="130"/>
      <c r="BD40" s="197"/>
      <c r="BE40" s="130"/>
      <c r="BF40" s="191">
        <f t="shared" si="14"/>
        <v>80005.1875</v>
      </c>
      <c r="BG40" s="191">
        <f t="shared" si="12"/>
        <v>77940.637500000012</v>
      </c>
      <c r="BH40" s="204">
        <f>BF40-BG40</f>
        <v>2064.5499999999884</v>
      </c>
      <c r="BI40" s="415"/>
      <c r="BJ40" s="132"/>
    </row>
    <row r="41" spans="1:62" ht="9.75" customHeight="1">
      <c r="A41" s="538">
        <v>24</v>
      </c>
      <c r="B41" s="129" t="s">
        <v>242</v>
      </c>
      <c r="C41" s="129" t="s">
        <v>243</v>
      </c>
      <c r="D41" s="195"/>
      <c r="E41" s="129" t="s">
        <v>291</v>
      </c>
      <c r="F41" s="129">
        <v>11</v>
      </c>
      <c r="G41" s="129" t="s">
        <v>299</v>
      </c>
      <c r="H41" s="130"/>
      <c r="I41" s="196">
        <f t="shared" si="1"/>
        <v>0.88888888888888884</v>
      </c>
      <c r="J41" s="130">
        <v>17697</v>
      </c>
      <c r="K41" s="176"/>
      <c r="L41" s="191">
        <v>37164</v>
      </c>
      <c r="M41" s="130">
        <v>18</v>
      </c>
      <c r="N41" s="130">
        <v>18</v>
      </c>
      <c r="O41" s="136"/>
      <c r="P41" s="130">
        <v>12</v>
      </c>
      <c r="Q41" s="130">
        <v>4</v>
      </c>
      <c r="R41" s="189">
        <f t="shared" si="3"/>
        <v>0</v>
      </c>
      <c r="S41" s="191">
        <f t="shared" si="4"/>
        <v>24776</v>
      </c>
      <c r="T41" s="191">
        <f t="shared" si="5"/>
        <v>8258.6666666666661</v>
      </c>
      <c r="U41" s="191">
        <f t="shared" si="6"/>
        <v>8258.6666666666661</v>
      </c>
      <c r="V41" s="176">
        <v>0.1</v>
      </c>
      <c r="W41" s="176">
        <v>0.2</v>
      </c>
      <c r="X41" s="177">
        <v>0.125</v>
      </c>
      <c r="Y41" s="176">
        <v>0.25</v>
      </c>
      <c r="Z41" s="178">
        <v>0.15</v>
      </c>
      <c r="AA41" s="178">
        <v>0.3</v>
      </c>
      <c r="AB41" s="130"/>
      <c r="AC41" s="130"/>
      <c r="AD41" s="130">
        <v>10</v>
      </c>
      <c r="AE41" s="130"/>
      <c r="AF41" s="130">
        <v>4</v>
      </c>
      <c r="AG41" s="130"/>
      <c r="AH41" s="130"/>
      <c r="AI41" s="130"/>
      <c r="AJ41" s="188">
        <f t="shared" si="13"/>
        <v>983.16666666666663</v>
      </c>
      <c r="AK41" s="188"/>
      <c r="AL41" s="190">
        <f>J41*V41/M41*AF41</f>
        <v>393.26666666666665</v>
      </c>
      <c r="AM41" s="188"/>
      <c r="AN41" s="130"/>
      <c r="AO41" s="130"/>
      <c r="AP41" s="130"/>
      <c r="AQ41" s="130"/>
      <c r="AR41" s="130"/>
      <c r="AS41" s="130"/>
      <c r="AT41" s="130"/>
      <c r="AU41" s="130"/>
      <c r="AV41" s="191">
        <v>2655</v>
      </c>
      <c r="AW41" s="194"/>
      <c r="AX41" s="130"/>
      <c r="AY41" s="130"/>
      <c r="AZ41" s="130"/>
      <c r="BA41" s="191">
        <f t="shared" si="9"/>
        <v>0</v>
      </c>
      <c r="BB41" s="549">
        <f t="shared" si="7"/>
        <v>0</v>
      </c>
      <c r="BC41" s="130"/>
      <c r="BD41" s="197">
        <v>3539</v>
      </c>
      <c r="BE41" s="130"/>
      <c r="BF41" s="191">
        <f t="shared" si="14"/>
        <v>48863.766666666663</v>
      </c>
      <c r="BG41" s="191">
        <f t="shared" si="12"/>
        <v>48863.866666666661</v>
      </c>
      <c r="BH41" s="204">
        <f t="shared" si="8"/>
        <v>-9.9999999998544808E-2</v>
      </c>
      <c r="BI41" s="415"/>
      <c r="BJ41" s="132"/>
    </row>
    <row r="42" spans="1:62" ht="9.75" customHeight="1">
      <c r="A42" s="538">
        <v>25</v>
      </c>
      <c r="B42" s="129" t="s">
        <v>255</v>
      </c>
      <c r="C42" s="129" t="s">
        <v>372</v>
      </c>
      <c r="D42" s="195" t="s">
        <v>256</v>
      </c>
      <c r="E42" s="129" t="s">
        <v>288</v>
      </c>
      <c r="F42" s="129">
        <v>9</v>
      </c>
      <c r="G42" s="129" t="s">
        <v>299</v>
      </c>
      <c r="H42" s="130"/>
      <c r="I42" s="196">
        <f t="shared" si="1"/>
        <v>0.16666666666666666</v>
      </c>
      <c r="J42" s="130">
        <v>17697</v>
      </c>
      <c r="K42" s="176"/>
      <c r="L42" s="191">
        <v>44066</v>
      </c>
      <c r="M42" s="130">
        <v>18</v>
      </c>
      <c r="N42" s="130">
        <v>18</v>
      </c>
      <c r="O42" s="136"/>
      <c r="P42" s="130">
        <v>3</v>
      </c>
      <c r="Q42" s="130"/>
      <c r="R42" s="189">
        <f t="shared" si="3"/>
        <v>0</v>
      </c>
      <c r="S42" s="191">
        <f t="shared" si="4"/>
        <v>7344.3333333333339</v>
      </c>
      <c r="T42" s="191"/>
      <c r="U42" s="191">
        <f>(R42+S42+T42)*25%</f>
        <v>1836.0833333333335</v>
      </c>
      <c r="V42" s="176">
        <v>0.1</v>
      </c>
      <c r="W42" s="176">
        <v>0.2</v>
      </c>
      <c r="X42" s="177">
        <v>0.125</v>
      </c>
      <c r="Y42" s="176">
        <v>0.25</v>
      </c>
      <c r="Z42" s="178">
        <v>0.15</v>
      </c>
      <c r="AA42" s="178">
        <v>0.3</v>
      </c>
      <c r="AB42" s="130"/>
      <c r="AC42" s="130"/>
      <c r="AD42" s="130"/>
      <c r="AE42" s="130"/>
      <c r="AF42" s="130"/>
      <c r="AG42" s="130"/>
      <c r="AH42" s="130"/>
      <c r="AI42" s="130"/>
      <c r="AJ42" s="188">
        <f t="shared" si="13"/>
        <v>0</v>
      </c>
      <c r="AK42" s="188"/>
      <c r="AL42" s="190"/>
      <c r="AM42" s="188"/>
      <c r="AN42" s="130"/>
      <c r="AO42" s="130"/>
      <c r="AP42" s="130"/>
      <c r="AQ42" s="130"/>
      <c r="AR42" s="130"/>
      <c r="AS42" s="130"/>
      <c r="AT42" s="130"/>
      <c r="AU42" s="130"/>
      <c r="AV42" s="191">
        <v>2655</v>
      </c>
      <c r="AW42" s="194"/>
      <c r="AX42" s="130"/>
      <c r="AY42" s="130"/>
      <c r="AZ42" s="130"/>
      <c r="BA42" s="191">
        <f t="shared" si="9"/>
        <v>0</v>
      </c>
      <c r="BB42" s="549">
        <f>(J42*K42)/18*(O42+P42+Q42)</f>
        <v>0</v>
      </c>
      <c r="BC42" s="130"/>
      <c r="BD42" s="197"/>
      <c r="BE42" s="130"/>
      <c r="BF42" s="191">
        <f t="shared" si="14"/>
        <v>11835.416666666668</v>
      </c>
      <c r="BG42" s="191">
        <f t="shared" si="12"/>
        <v>11835.516666666668</v>
      </c>
      <c r="BH42" s="204">
        <f t="shared" si="8"/>
        <v>-0.1000000000003638</v>
      </c>
      <c r="BI42" s="415"/>
      <c r="BJ42" s="132"/>
    </row>
    <row r="43" spans="1:62" ht="9.75" customHeight="1">
      <c r="A43" s="538"/>
      <c r="B43" s="129" t="s">
        <v>255</v>
      </c>
      <c r="C43" s="129" t="s">
        <v>400</v>
      </c>
      <c r="D43" s="195" t="s">
        <v>256</v>
      </c>
      <c r="E43" s="129" t="s">
        <v>288</v>
      </c>
      <c r="F43" s="129">
        <v>9</v>
      </c>
      <c r="G43" s="129" t="s">
        <v>299</v>
      </c>
      <c r="H43" s="130"/>
      <c r="I43" s="196">
        <f t="shared" si="1"/>
        <v>0.33333333333333331</v>
      </c>
      <c r="J43" s="130">
        <v>17697</v>
      </c>
      <c r="K43" s="176"/>
      <c r="L43" s="191">
        <v>44066</v>
      </c>
      <c r="M43" s="130">
        <v>18</v>
      </c>
      <c r="N43" s="130">
        <v>18</v>
      </c>
      <c r="O43" s="136"/>
      <c r="P43" s="130">
        <v>6</v>
      </c>
      <c r="Q43" s="130"/>
      <c r="R43" s="189">
        <f t="shared" si="3"/>
        <v>0</v>
      </c>
      <c r="S43" s="191">
        <f t="shared" si="4"/>
        <v>14688.666666666668</v>
      </c>
      <c r="T43" s="191"/>
      <c r="U43" s="191">
        <f>(R43+S43+T43)*25%</f>
        <v>3672.166666666667</v>
      </c>
      <c r="V43" s="176">
        <v>0.1</v>
      </c>
      <c r="W43" s="176">
        <v>0.2</v>
      </c>
      <c r="X43" s="177">
        <v>0.125</v>
      </c>
      <c r="Y43" s="176">
        <v>0.25</v>
      </c>
      <c r="Z43" s="178">
        <v>0.15</v>
      </c>
      <c r="AA43" s="178">
        <v>0.3</v>
      </c>
      <c r="AB43" s="130"/>
      <c r="AC43" s="130"/>
      <c r="AD43" s="130">
        <v>4</v>
      </c>
      <c r="AE43" s="130"/>
      <c r="AF43" s="130"/>
      <c r="AG43" s="130"/>
      <c r="AH43" s="130"/>
      <c r="AI43" s="130"/>
      <c r="AJ43" s="188">
        <f t="shared" si="13"/>
        <v>393.26666666666665</v>
      </c>
      <c r="AK43" s="188"/>
      <c r="AL43" s="190"/>
      <c r="AM43" s="188"/>
      <c r="AN43" s="130"/>
      <c r="AO43" s="130"/>
      <c r="AP43" s="130"/>
      <c r="AQ43" s="130"/>
      <c r="AR43" s="130"/>
      <c r="AS43" s="130"/>
      <c r="AT43" s="130"/>
      <c r="AU43" s="130"/>
      <c r="AV43" s="191"/>
      <c r="AW43" s="194"/>
      <c r="AX43" s="130"/>
      <c r="AY43" s="130"/>
      <c r="AZ43" s="130"/>
      <c r="BA43" s="191">
        <f t="shared" si="9"/>
        <v>0</v>
      </c>
      <c r="BB43" s="549">
        <f>(J43*K43)/18*(O43+P43+Q43)</f>
        <v>0</v>
      </c>
      <c r="BC43" s="130"/>
      <c r="BD43" s="197">
        <v>3539</v>
      </c>
      <c r="BE43" s="130"/>
      <c r="BF43" s="191">
        <f t="shared" si="14"/>
        <v>22293.100000000002</v>
      </c>
      <c r="BG43" s="191">
        <f t="shared" si="12"/>
        <v>22293.200000000001</v>
      </c>
      <c r="BH43" s="204">
        <f t="shared" si="8"/>
        <v>-9.9999999998544808E-2</v>
      </c>
      <c r="BI43" s="415"/>
      <c r="BJ43" s="132"/>
    </row>
    <row r="44" spans="1:62" ht="9.75" customHeight="1">
      <c r="A44" s="538">
        <v>26</v>
      </c>
      <c r="B44" s="129" t="s">
        <v>57</v>
      </c>
      <c r="C44" s="129" t="s">
        <v>476</v>
      </c>
      <c r="D44" s="195" t="s">
        <v>58</v>
      </c>
      <c r="E44" s="129" t="s">
        <v>288</v>
      </c>
      <c r="F44" s="129">
        <v>9</v>
      </c>
      <c r="G44" s="129" t="s">
        <v>418</v>
      </c>
      <c r="H44" s="130"/>
      <c r="I44" s="196">
        <f t="shared" si="1"/>
        <v>0.83333333333333326</v>
      </c>
      <c r="J44" s="130">
        <v>17697</v>
      </c>
      <c r="K44" s="176"/>
      <c r="L44" s="191">
        <f>J44*2.4</f>
        <v>42472.799999999996</v>
      </c>
      <c r="M44" s="130">
        <v>18</v>
      </c>
      <c r="N44" s="130">
        <v>18</v>
      </c>
      <c r="O44" s="136">
        <v>12</v>
      </c>
      <c r="P44" s="130">
        <v>3</v>
      </c>
      <c r="Q44" s="130"/>
      <c r="R44" s="189">
        <f t="shared" si="3"/>
        <v>28315.199999999997</v>
      </c>
      <c r="S44" s="191">
        <f t="shared" si="4"/>
        <v>7078.7999999999993</v>
      </c>
      <c r="T44" s="191">
        <f t="shared" si="5"/>
        <v>0</v>
      </c>
      <c r="U44" s="191">
        <f t="shared" si="6"/>
        <v>8848.5</v>
      </c>
      <c r="V44" s="176"/>
      <c r="W44" s="176"/>
      <c r="X44" s="177"/>
      <c r="Y44" s="176"/>
      <c r="Z44" s="178"/>
      <c r="AA44" s="178"/>
      <c r="AB44" s="130"/>
      <c r="AC44" s="130"/>
      <c r="AD44" s="130"/>
      <c r="AE44" s="130"/>
      <c r="AF44" s="130"/>
      <c r="AG44" s="130"/>
      <c r="AH44" s="130"/>
      <c r="AI44" s="130"/>
      <c r="AJ44" s="188">
        <f t="shared" si="13"/>
        <v>0</v>
      </c>
      <c r="AK44" s="188"/>
      <c r="AL44" s="190">
        <f>J44*V44/M44*AF44</f>
        <v>0</v>
      </c>
      <c r="AM44" s="188"/>
      <c r="AN44" s="130"/>
      <c r="AO44" s="130"/>
      <c r="AP44" s="130"/>
      <c r="AQ44" s="130"/>
      <c r="AR44" s="130"/>
      <c r="AS44" s="130"/>
      <c r="AT44" s="130"/>
      <c r="AU44" s="130"/>
      <c r="AV44" s="130"/>
      <c r="AW44" s="194"/>
      <c r="AX44" s="130"/>
      <c r="AY44" s="130"/>
      <c r="AZ44" s="130"/>
      <c r="BA44" s="191">
        <f t="shared" si="9"/>
        <v>0</v>
      </c>
      <c r="BB44" s="549">
        <f t="shared" si="7"/>
        <v>0</v>
      </c>
      <c r="BC44" s="191">
        <v>3982</v>
      </c>
      <c r="BD44" s="197"/>
      <c r="BE44" s="130"/>
      <c r="BF44" s="191">
        <f t="shared" si="14"/>
        <v>48224.5</v>
      </c>
      <c r="BG44" s="191">
        <f t="shared" si="12"/>
        <v>48224.5</v>
      </c>
      <c r="BH44" s="204">
        <f t="shared" si="8"/>
        <v>0</v>
      </c>
      <c r="BI44" s="415"/>
      <c r="BJ44" s="132"/>
    </row>
    <row r="45" spans="1:62" ht="9.75" customHeight="1">
      <c r="A45" s="129"/>
      <c r="B45" s="129" t="s">
        <v>301</v>
      </c>
      <c r="C45" s="129"/>
      <c r="D45" s="195"/>
      <c r="E45" s="129" t="s">
        <v>302</v>
      </c>
      <c r="F45" s="129"/>
      <c r="G45" s="129" t="s">
        <v>302</v>
      </c>
      <c r="H45" s="130" t="s">
        <v>302</v>
      </c>
      <c r="I45" s="198">
        <f>SUM(I15:I44)</f>
        <v>18.694444444444446</v>
      </c>
      <c r="J45" s="130" t="s">
        <v>302</v>
      </c>
      <c r="K45" s="176"/>
      <c r="L45" s="130" t="s">
        <v>302</v>
      </c>
      <c r="M45" s="130" t="s">
        <v>302</v>
      </c>
      <c r="N45" s="130" t="s">
        <v>302</v>
      </c>
      <c r="O45" s="197">
        <f t="shared" ref="O45:BG45" si="15">SUM(O15:O44)</f>
        <v>107</v>
      </c>
      <c r="P45" s="197">
        <f t="shared" si="15"/>
        <v>174</v>
      </c>
      <c r="Q45" s="197">
        <f t="shared" si="15"/>
        <v>74</v>
      </c>
      <c r="R45" s="197">
        <f t="shared" si="15"/>
        <v>296129.7711111111</v>
      </c>
      <c r="S45" s="197">
        <f t="shared" si="15"/>
        <v>452463.7144444444</v>
      </c>
      <c r="T45" s="197">
        <f t="shared" si="15"/>
        <v>195021.08222222221</v>
      </c>
      <c r="U45" s="197">
        <f t="shared" si="15"/>
        <v>235903.64194444445</v>
      </c>
      <c r="V45" s="197">
        <f t="shared" si="15"/>
        <v>2.8000000000000012</v>
      </c>
      <c r="W45" s="197">
        <f t="shared" si="15"/>
        <v>5.6000000000000023</v>
      </c>
      <c r="X45" s="197">
        <f t="shared" si="15"/>
        <v>3.5</v>
      </c>
      <c r="Y45" s="197">
        <f t="shared" si="15"/>
        <v>7</v>
      </c>
      <c r="Z45" s="197">
        <f t="shared" si="15"/>
        <v>4.1999999999999993</v>
      </c>
      <c r="AA45" s="197">
        <f t="shared" si="15"/>
        <v>7.7999999999999963</v>
      </c>
      <c r="AB45" s="197">
        <f t="shared" si="15"/>
        <v>76</v>
      </c>
      <c r="AC45" s="197">
        <f t="shared" si="15"/>
        <v>0</v>
      </c>
      <c r="AD45" s="197">
        <f t="shared" si="15"/>
        <v>93.5</v>
      </c>
      <c r="AE45" s="197">
        <f t="shared" si="15"/>
        <v>0</v>
      </c>
      <c r="AF45" s="197">
        <f t="shared" si="15"/>
        <v>42</v>
      </c>
      <c r="AG45" s="197">
        <f t="shared" si="15"/>
        <v>0</v>
      </c>
      <c r="AH45" s="197">
        <f t="shared" si="15"/>
        <v>7570.3833333333323</v>
      </c>
      <c r="AI45" s="197">
        <f t="shared" si="15"/>
        <v>0</v>
      </c>
      <c r="AJ45" s="197">
        <f t="shared" si="15"/>
        <v>10102.037499999999</v>
      </c>
      <c r="AK45" s="197">
        <f t="shared" si="15"/>
        <v>0</v>
      </c>
      <c r="AL45" s="197">
        <f t="shared" si="15"/>
        <v>4424.25</v>
      </c>
      <c r="AM45" s="197">
        <f t="shared" si="15"/>
        <v>0</v>
      </c>
      <c r="AN45" s="197">
        <f t="shared" si="15"/>
        <v>4</v>
      </c>
      <c r="AO45" s="197">
        <f t="shared" si="15"/>
        <v>983.16666666666663</v>
      </c>
      <c r="AP45" s="197">
        <f t="shared" si="15"/>
        <v>17</v>
      </c>
      <c r="AQ45" s="197">
        <f t="shared" si="15"/>
        <v>4178.458333333333</v>
      </c>
      <c r="AR45" s="197">
        <f t="shared" si="15"/>
        <v>7</v>
      </c>
      <c r="AS45" s="197">
        <f t="shared" si="15"/>
        <v>1720.5416666666665</v>
      </c>
      <c r="AT45" s="197">
        <f t="shared" si="15"/>
        <v>8848</v>
      </c>
      <c r="AU45" s="197">
        <f t="shared" si="15"/>
        <v>0</v>
      </c>
      <c r="AV45" s="197">
        <f t="shared" si="15"/>
        <v>13275</v>
      </c>
      <c r="AW45" s="197">
        <f t="shared" si="15"/>
        <v>0</v>
      </c>
      <c r="AX45" s="197">
        <f t="shared" si="15"/>
        <v>5310</v>
      </c>
      <c r="AY45" s="197">
        <f t="shared" si="15"/>
        <v>0</v>
      </c>
      <c r="AZ45" s="197">
        <f>SUM(AZ17:AZ44)</f>
        <v>33771.775000000001</v>
      </c>
      <c r="BA45" s="197">
        <f>SUM(BA17:BA44)</f>
        <v>72213.59166666666</v>
      </c>
      <c r="BB45" s="550">
        <f t="shared" si="15"/>
        <v>105985.36666666665</v>
      </c>
      <c r="BC45" s="197">
        <f t="shared" si="15"/>
        <v>11503</v>
      </c>
      <c r="BD45" s="197">
        <f t="shared" si="15"/>
        <v>24773</v>
      </c>
      <c r="BE45" s="197">
        <f t="shared" si="15"/>
        <v>14246.085000000003</v>
      </c>
      <c r="BF45" s="197">
        <f t="shared" si="15"/>
        <v>1392437.4988888891</v>
      </c>
      <c r="BG45" s="197">
        <f t="shared" si="15"/>
        <v>1358668.523888889</v>
      </c>
      <c r="BH45" s="204">
        <f>SUM(BH15:BH44)</f>
        <v>33768.974999999977</v>
      </c>
      <c r="BI45" s="415"/>
      <c r="BJ45" s="132"/>
    </row>
    <row r="46" spans="1:62" ht="11.25" customHeight="1">
      <c r="A46" s="199"/>
      <c r="B46" s="199"/>
      <c r="C46" s="199"/>
      <c r="D46" s="200"/>
      <c r="E46" s="199"/>
      <c r="F46" s="199"/>
      <c r="G46" s="199"/>
      <c r="H46" s="132"/>
      <c r="I46" s="201"/>
      <c r="J46" s="132"/>
      <c r="K46" s="202"/>
      <c r="L46" s="132"/>
      <c r="M46" s="132"/>
      <c r="N46" s="132"/>
      <c r="O46" s="201"/>
      <c r="P46" s="201"/>
      <c r="Q46" s="201"/>
      <c r="R46" s="201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203"/>
      <c r="AE46" s="203"/>
      <c r="AF46" s="203"/>
      <c r="AG46" s="20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551"/>
      <c r="BC46" s="183"/>
      <c r="BD46" s="183"/>
      <c r="BE46" s="183"/>
      <c r="BF46" s="204"/>
      <c r="BG46" s="204"/>
      <c r="BH46" s="132"/>
      <c r="BI46" s="132"/>
      <c r="BJ46" s="132"/>
    </row>
    <row r="47" spans="1:62" ht="11.25" customHeight="1">
      <c r="R47" s="205"/>
      <c r="AH47" s="91" t="s">
        <v>303</v>
      </c>
      <c r="AI47" s="91"/>
      <c r="AJ47" s="91"/>
      <c r="AL47" s="193"/>
      <c r="AO47" s="132"/>
      <c r="AQ47" s="402" t="s">
        <v>13</v>
      </c>
      <c r="AR47" s="402"/>
      <c r="AS47" s="451"/>
      <c r="AT47" s="36"/>
      <c r="BH47" s="132"/>
      <c r="BI47" s="132"/>
      <c r="BJ47" s="132"/>
    </row>
    <row r="48" spans="1:62" ht="11.25" customHeight="1">
      <c r="R48" s="205"/>
      <c r="AH48" s="91" t="s">
        <v>474</v>
      </c>
      <c r="AI48" s="91"/>
      <c r="AJ48" s="91"/>
      <c r="AL48" s="193"/>
      <c r="AQ48" s="402" t="s">
        <v>448</v>
      </c>
      <c r="AR48" s="402"/>
      <c r="AS48" s="451"/>
      <c r="AT48" s="36"/>
      <c r="BH48" s="132"/>
      <c r="BI48" s="132"/>
      <c r="BJ48" s="132"/>
    </row>
    <row r="49" spans="1:59" ht="11.25" customHeight="1">
      <c r="R49" s="205"/>
      <c r="S49" s="205"/>
      <c r="T49" s="205"/>
      <c r="U49" s="205"/>
      <c r="AH49" s="91" t="s">
        <v>407</v>
      </c>
      <c r="AL49" s="193"/>
      <c r="AQ49" s="402" t="s">
        <v>236</v>
      </c>
      <c r="AR49" s="36"/>
      <c r="AS49" s="452"/>
      <c r="AT49" s="36"/>
      <c r="BF49" s="128" t="s">
        <v>479</v>
      </c>
    </row>
    <row r="50" spans="1:59" ht="11.25" customHeight="1">
      <c r="R50" s="205"/>
      <c r="AM50" s="193"/>
    </row>
    <row r="51" spans="1:59" ht="11.25" hidden="1" customHeight="1"/>
    <row r="52" spans="1:59" ht="11.25" hidden="1" customHeight="1"/>
    <row r="53" spans="1:59" ht="11.25" hidden="1" customHeight="1">
      <c r="B53" s="400" t="s">
        <v>475</v>
      </c>
      <c r="G53" s="126" t="s">
        <v>408</v>
      </c>
      <c r="H53" s="135"/>
      <c r="I53" s="135"/>
      <c r="J53" s="135"/>
      <c r="K53" s="406"/>
      <c r="L53" s="135"/>
      <c r="M53" s="135"/>
      <c r="N53" s="135"/>
      <c r="O53" s="135"/>
      <c r="P53" s="135"/>
      <c r="Q53" s="135"/>
    </row>
    <row r="54" spans="1:59" ht="11.25" hidden="1" customHeight="1">
      <c r="B54" s="38"/>
      <c r="G54" s="126"/>
      <c r="H54" s="135"/>
      <c r="I54" s="135"/>
      <c r="J54" s="135"/>
      <c r="K54" s="406"/>
      <c r="L54" s="135"/>
      <c r="M54" s="135"/>
      <c r="N54" s="135"/>
      <c r="O54" s="135"/>
      <c r="P54" s="135"/>
      <c r="Q54" s="135"/>
    </row>
    <row r="55" spans="1:59" ht="11.25" hidden="1" customHeight="1">
      <c r="B55" s="401" t="s">
        <v>259</v>
      </c>
      <c r="G55" s="126"/>
      <c r="H55" s="405" t="s">
        <v>7</v>
      </c>
      <c r="I55" s="135"/>
      <c r="J55" s="135"/>
      <c r="K55" s="406"/>
      <c r="L55" s="135"/>
      <c r="M55" s="135"/>
      <c r="N55" s="135"/>
      <c r="O55" s="135"/>
      <c r="P55" s="135"/>
      <c r="Q55" s="135"/>
    </row>
    <row r="56" spans="1:59" ht="11.25" hidden="1" customHeight="1">
      <c r="B56" s="38"/>
      <c r="G56" s="126"/>
      <c r="H56" s="135"/>
      <c r="I56" s="135"/>
      <c r="J56" s="135"/>
      <c r="K56" s="406"/>
      <c r="L56" s="135"/>
      <c r="M56" s="135"/>
      <c r="N56" s="135"/>
      <c r="O56" s="135"/>
      <c r="P56" s="135"/>
      <c r="Q56" s="135"/>
    </row>
    <row r="57" spans="1:59" ht="11.25" hidden="1" customHeight="1">
      <c r="B57" s="37" t="s">
        <v>260</v>
      </c>
      <c r="G57" s="126"/>
      <c r="H57" s="135"/>
      <c r="I57" s="135" t="s">
        <v>454</v>
      </c>
      <c r="J57" s="135"/>
      <c r="K57" s="406"/>
      <c r="L57" s="135"/>
      <c r="M57" s="135"/>
      <c r="N57" s="135"/>
      <c r="O57" s="135"/>
      <c r="P57" s="135"/>
      <c r="Q57" s="135"/>
    </row>
    <row r="58" spans="1:59" ht="11.25" hidden="1" customHeight="1">
      <c r="B58" s="38" t="s">
        <v>413</v>
      </c>
    </row>
    <row r="59" spans="1:59" ht="11.25" hidden="1" customHeight="1"/>
    <row r="60" spans="1:59" ht="11.25" hidden="1" customHeight="1">
      <c r="A60" s="137" t="s">
        <v>265</v>
      </c>
      <c r="B60" s="138" t="s">
        <v>478</v>
      </c>
      <c r="C60" s="138" t="s">
        <v>396</v>
      </c>
      <c r="D60" s="138" t="s">
        <v>8</v>
      </c>
      <c r="E60" s="138" t="s">
        <v>329</v>
      </c>
      <c r="F60" s="138" t="s">
        <v>277</v>
      </c>
      <c r="G60" s="139" t="s">
        <v>269</v>
      </c>
      <c r="H60" s="140" t="s">
        <v>270</v>
      </c>
      <c r="I60" s="141" t="s">
        <v>330</v>
      </c>
      <c r="J60" s="140"/>
      <c r="K60" s="142"/>
      <c r="L60" s="140" t="s">
        <v>271</v>
      </c>
      <c r="M60" s="143" t="s">
        <v>451</v>
      </c>
      <c r="N60" s="144"/>
      <c r="O60" s="145" t="s">
        <v>431</v>
      </c>
      <c r="P60" s="146"/>
      <c r="Q60" s="147"/>
      <c r="R60" s="328" t="s">
        <v>332</v>
      </c>
      <c r="S60" s="148"/>
      <c r="T60" s="149"/>
      <c r="U60" s="141" t="s">
        <v>18</v>
      </c>
      <c r="V60" s="150" t="s">
        <v>333</v>
      </c>
      <c r="W60" s="151"/>
      <c r="X60" s="151"/>
      <c r="Y60" s="152"/>
      <c r="Z60" s="151"/>
      <c r="AA60" s="151"/>
      <c r="AB60" s="153" t="s">
        <v>334</v>
      </c>
      <c r="AC60" s="153"/>
      <c r="AD60" s="153"/>
      <c r="AE60" s="153"/>
      <c r="AF60" s="153"/>
      <c r="AG60" s="153"/>
      <c r="AH60" s="1145" t="s">
        <v>443</v>
      </c>
      <c r="AI60" s="1146"/>
      <c r="AJ60" s="1146"/>
      <c r="AK60" s="1146"/>
      <c r="AL60" s="1146"/>
      <c r="AM60" s="1146"/>
      <c r="AN60" s="1119" t="s">
        <v>19</v>
      </c>
      <c r="AO60" s="1119"/>
      <c r="AP60" s="1119"/>
      <c r="AQ60" s="1119"/>
      <c r="AR60" s="1119"/>
      <c r="AS60" s="1119"/>
      <c r="AT60" s="1119" t="s">
        <v>336</v>
      </c>
      <c r="AU60" s="1119"/>
      <c r="AV60" s="1119"/>
      <c r="AW60" s="1119"/>
      <c r="AX60" s="1119"/>
      <c r="AY60" s="1119"/>
      <c r="AZ60" s="420"/>
      <c r="BA60" s="420"/>
      <c r="BB60" s="1149" t="s">
        <v>274</v>
      </c>
      <c r="BC60" s="1136" t="s">
        <v>20</v>
      </c>
      <c r="BD60" s="1139" t="s">
        <v>338</v>
      </c>
      <c r="BE60" s="1142" t="s">
        <v>21</v>
      </c>
      <c r="BF60" s="1104" t="s">
        <v>275</v>
      </c>
      <c r="BG60" s="1104" t="s">
        <v>275</v>
      </c>
    </row>
    <row r="61" spans="1:59" ht="11.25" hidden="1" customHeight="1">
      <c r="A61" s="155" t="s">
        <v>276</v>
      </c>
      <c r="B61" s="156"/>
      <c r="C61" s="156"/>
      <c r="D61" s="156"/>
      <c r="E61" s="156"/>
      <c r="F61" s="156"/>
      <c r="G61" s="157" t="s">
        <v>278</v>
      </c>
      <c r="H61" s="158" t="s">
        <v>279</v>
      </c>
      <c r="I61" s="159"/>
      <c r="J61" s="158" t="s">
        <v>398</v>
      </c>
      <c r="K61" s="160" t="s">
        <v>341</v>
      </c>
      <c r="L61" s="158" t="s">
        <v>280</v>
      </c>
      <c r="M61" s="161"/>
      <c r="N61" s="162"/>
      <c r="O61" s="141" t="s">
        <v>342</v>
      </c>
      <c r="P61" s="141" t="s">
        <v>343</v>
      </c>
      <c r="Q61" s="141" t="s">
        <v>344</v>
      </c>
      <c r="R61" s="141" t="s">
        <v>342</v>
      </c>
      <c r="S61" s="141" t="s">
        <v>343</v>
      </c>
      <c r="T61" s="141" t="s">
        <v>344</v>
      </c>
      <c r="U61" s="163"/>
      <c r="V61" s="164"/>
      <c r="W61" s="165"/>
      <c r="X61" s="165"/>
      <c r="Y61" s="166"/>
      <c r="Z61" s="165"/>
      <c r="AA61" s="165"/>
      <c r="AB61" s="167"/>
      <c r="AC61" s="167"/>
      <c r="AD61" s="167"/>
      <c r="AE61" s="167"/>
      <c r="AF61" s="167"/>
      <c r="AG61" s="167"/>
      <c r="AH61" s="1147"/>
      <c r="AI61" s="1148"/>
      <c r="AJ61" s="1148"/>
      <c r="AK61" s="1148"/>
      <c r="AL61" s="1148"/>
      <c r="AM61" s="1148"/>
      <c r="AN61" s="1119"/>
      <c r="AO61" s="1119"/>
      <c r="AP61" s="1119"/>
      <c r="AQ61" s="1119"/>
      <c r="AR61" s="1119"/>
      <c r="AS61" s="1119"/>
      <c r="AT61" s="1119"/>
      <c r="AU61" s="1119"/>
      <c r="AV61" s="1119"/>
      <c r="AW61" s="1119"/>
      <c r="AX61" s="1119"/>
      <c r="AY61" s="1119"/>
      <c r="AZ61" s="421"/>
      <c r="BA61" s="421"/>
      <c r="BB61" s="1150"/>
      <c r="BC61" s="1137"/>
      <c r="BD61" s="1140"/>
      <c r="BE61" s="1143"/>
      <c r="BF61" s="1105"/>
      <c r="BG61" s="1105"/>
    </row>
    <row r="62" spans="1:59" ht="11.25" hidden="1" customHeight="1">
      <c r="A62" s="168"/>
      <c r="B62" s="169"/>
      <c r="C62" s="169"/>
      <c r="D62" s="169"/>
      <c r="E62" s="169"/>
      <c r="F62" s="169"/>
      <c r="G62" s="170" t="s">
        <v>283</v>
      </c>
      <c r="H62" s="171"/>
      <c r="I62" s="172"/>
      <c r="J62" s="171"/>
      <c r="K62" s="173"/>
      <c r="L62" s="171" t="s">
        <v>284</v>
      </c>
      <c r="M62" s="171">
        <v>18</v>
      </c>
      <c r="N62" s="171">
        <v>18</v>
      </c>
      <c r="O62" s="174"/>
      <c r="P62" s="174"/>
      <c r="Q62" s="174"/>
      <c r="R62" s="174"/>
      <c r="S62" s="174"/>
      <c r="T62" s="174"/>
      <c r="U62" s="175"/>
      <c r="V62" s="176">
        <v>0.1</v>
      </c>
      <c r="W62" s="176">
        <v>0.2</v>
      </c>
      <c r="X62" s="177">
        <v>0.125</v>
      </c>
      <c r="Y62" s="176">
        <v>0.25</v>
      </c>
      <c r="Z62" s="178">
        <v>0.15</v>
      </c>
      <c r="AA62" s="178">
        <v>0.3</v>
      </c>
      <c r="AB62" s="1153" t="s">
        <v>349</v>
      </c>
      <c r="AC62" s="1154"/>
      <c r="AD62" s="1153" t="s">
        <v>350</v>
      </c>
      <c r="AE62" s="1155"/>
      <c r="AF62" s="1153" t="s">
        <v>344</v>
      </c>
      <c r="AG62" s="1155"/>
      <c r="AH62" s="1156" t="s">
        <v>349</v>
      </c>
      <c r="AI62" s="1156"/>
      <c r="AJ62" s="1152" t="s">
        <v>350</v>
      </c>
      <c r="AK62" s="1152"/>
      <c r="AL62" s="1152" t="s">
        <v>344</v>
      </c>
      <c r="AM62" s="1152"/>
      <c r="AN62" s="1157" t="s">
        <v>347</v>
      </c>
      <c r="AO62" s="1158"/>
      <c r="AP62" s="1115" t="s">
        <v>350</v>
      </c>
      <c r="AQ62" s="1115"/>
      <c r="AR62" s="1115" t="s">
        <v>344</v>
      </c>
      <c r="AS62" s="1115"/>
      <c r="AT62" s="1114" t="s">
        <v>349</v>
      </c>
      <c r="AU62" s="1114"/>
      <c r="AV62" s="1115" t="s">
        <v>350</v>
      </c>
      <c r="AW62" s="1115"/>
      <c r="AX62" s="1115" t="s">
        <v>344</v>
      </c>
      <c r="AY62" s="1112"/>
      <c r="AZ62" s="422"/>
      <c r="BA62" s="422"/>
      <c r="BB62" s="1150"/>
      <c r="BC62" s="1137"/>
      <c r="BD62" s="1140"/>
      <c r="BE62" s="1144"/>
      <c r="BF62" s="1105"/>
      <c r="BG62" s="1105"/>
    </row>
    <row r="63" spans="1:59" ht="11.25" hidden="1" customHeight="1">
      <c r="A63" s="129"/>
      <c r="B63" s="129">
        <v>1</v>
      </c>
      <c r="C63" s="129">
        <v>2</v>
      </c>
      <c r="D63" s="129"/>
      <c r="E63" s="129">
        <v>3</v>
      </c>
      <c r="F63" s="168"/>
      <c r="G63" s="168">
        <v>5</v>
      </c>
      <c r="H63" s="136">
        <v>6</v>
      </c>
      <c r="I63" s="136"/>
      <c r="J63" s="136"/>
      <c r="K63" s="179"/>
      <c r="L63" s="136">
        <v>7</v>
      </c>
      <c r="M63" s="136"/>
      <c r="N63" s="136"/>
      <c r="O63" s="136">
        <v>8</v>
      </c>
      <c r="P63" s="136">
        <v>9</v>
      </c>
      <c r="Q63" s="136">
        <v>10</v>
      </c>
      <c r="R63" s="136">
        <v>11</v>
      </c>
      <c r="S63" s="136">
        <v>12</v>
      </c>
      <c r="T63" s="136">
        <v>13</v>
      </c>
      <c r="U63" s="171"/>
      <c r="V63" s="166"/>
      <c r="W63" s="166"/>
      <c r="X63" s="166"/>
      <c r="Y63" s="166"/>
      <c r="Z63" s="166"/>
      <c r="AA63" s="166"/>
      <c r="AB63" s="178">
        <v>0.5</v>
      </c>
      <c r="AC63" s="176">
        <v>1</v>
      </c>
      <c r="AD63" s="176">
        <v>0.5</v>
      </c>
      <c r="AE63" s="176">
        <v>1</v>
      </c>
      <c r="AF63" s="176">
        <v>0.5</v>
      </c>
      <c r="AG63" s="176">
        <v>1</v>
      </c>
      <c r="AH63" s="176">
        <v>0.5</v>
      </c>
      <c r="AI63" s="176">
        <v>1</v>
      </c>
      <c r="AJ63" s="176">
        <v>0.5</v>
      </c>
      <c r="AK63" s="176">
        <v>1</v>
      </c>
      <c r="AL63" s="176">
        <v>0.5</v>
      </c>
      <c r="AM63" s="176">
        <v>1</v>
      </c>
      <c r="AN63" s="130" t="s">
        <v>351</v>
      </c>
      <c r="AO63" s="130" t="s">
        <v>352</v>
      </c>
      <c r="AP63" s="130" t="s">
        <v>351</v>
      </c>
      <c r="AQ63" s="130" t="s">
        <v>352</v>
      </c>
      <c r="AR63" s="130" t="s">
        <v>351</v>
      </c>
      <c r="AS63" s="130" t="s">
        <v>352</v>
      </c>
      <c r="AT63" s="176">
        <v>0.5</v>
      </c>
      <c r="AU63" s="176">
        <v>1</v>
      </c>
      <c r="AV63" s="176">
        <v>0.5</v>
      </c>
      <c r="AW63" s="176">
        <v>1</v>
      </c>
      <c r="AX63" s="176">
        <v>0.5</v>
      </c>
      <c r="AY63" s="180">
        <v>1</v>
      </c>
      <c r="AZ63" s="423"/>
      <c r="BA63" s="423"/>
      <c r="BB63" s="1150"/>
      <c r="BC63" s="1138"/>
      <c r="BD63" s="1141"/>
      <c r="BE63" s="130" t="s">
        <v>352</v>
      </c>
      <c r="BF63" s="1106"/>
      <c r="BG63" s="1106"/>
    </row>
    <row r="64" spans="1:59" ht="11.25" hidden="1" customHeight="1">
      <c r="A64" s="181"/>
      <c r="B64" s="137" t="s">
        <v>285</v>
      </c>
      <c r="C64" s="137" t="s">
        <v>285</v>
      </c>
      <c r="D64" s="137"/>
      <c r="E64" s="137"/>
      <c r="F64" s="129"/>
      <c r="G64" s="137"/>
      <c r="H64" s="140"/>
      <c r="I64" s="140"/>
      <c r="J64" s="136">
        <v>6600</v>
      </c>
      <c r="K64" s="179"/>
      <c r="L64" s="136">
        <v>11937</v>
      </c>
      <c r="M64" s="182">
        <v>18</v>
      </c>
      <c r="N64" s="132">
        <v>20</v>
      </c>
      <c r="O64" s="140">
        <v>2</v>
      </c>
      <c r="P64" s="158">
        <v>10</v>
      </c>
      <c r="Q64" s="144">
        <v>4</v>
      </c>
      <c r="R64" s="183">
        <f>L64/N64*O64</f>
        <v>1193.7</v>
      </c>
      <c r="S64" s="184">
        <f>L64/M64*P64</f>
        <v>6631.6666666666661</v>
      </c>
      <c r="T64" s="183">
        <f>L64/M64*Q64</f>
        <v>2652.6666666666665</v>
      </c>
      <c r="U64" s="185"/>
      <c r="V64" s="176">
        <v>0.1</v>
      </c>
      <c r="W64" s="176">
        <v>0.2</v>
      </c>
      <c r="X64" s="177">
        <v>0.125</v>
      </c>
      <c r="Y64" s="176">
        <v>0.25</v>
      </c>
      <c r="Z64" s="178">
        <v>0.15</v>
      </c>
      <c r="AA64" s="178">
        <v>0.3</v>
      </c>
      <c r="AB64" s="186"/>
      <c r="AC64" s="187"/>
      <c r="AD64" s="188">
        <v>1</v>
      </c>
      <c r="AE64" s="188">
        <v>1</v>
      </c>
      <c r="AF64" s="188">
        <v>1</v>
      </c>
      <c r="AG64" s="188">
        <v>1</v>
      </c>
      <c r="AH64" s="189">
        <f>J64*V64</f>
        <v>660</v>
      </c>
      <c r="AI64" s="189">
        <f>J64*W64</f>
        <v>1320</v>
      </c>
      <c r="AJ64" s="188">
        <f>J64*V64/M64*AD64</f>
        <v>36.666666666666664</v>
      </c>
      <c r="AK64" s="188">
        <f>J64*W64/M64*AE64</f>
        <v>73.333333333333329</v>
      </c>
      <c r="AL64" s="190">
        <f>J64*V64/M64*AF64</f>
        <v>36.666666666666664</v>
      </c>
      <c r="AM64" s="188">
        <f>J64*W64/M64*AG64</f>
        <v>73.333333333333329</v>
      </c>
      <c r="AN64" s="182"/>
      <c r="AO64" s="188"/>
      <c r="AP64" s="182"/>
      <c r="AQ64" s="191"/>
      <c r="AR64" s="130"/>
      <c r="AS64" s="191"/>
      <c r="AT64" s="130"/>
      <c r="AU64" s="192"/>
      <c r="AV64" s="182"/>
      <c r="AW64" s="192"/>
      <c r="AX64" s="182"/>
      <c r="AY64" s="130"/>
      <c r="AZ64" s="174"/>
      <c r="BA64" s="174"/>
      <c r="BB64" s="1151"/>
      <c r="BC64" s="136"/>
      <c r="BD64" s="136"/>
      <c r="BE64" s="130"/>
      <c r="BF64" s="172"/>
      <c r="BG64" s="172"/>
    </row>
    <row r="65" spans="1:59" ht="11.25" hidden="1" customHeight="1">
      <c r="A65" s="181"/>
      <c r="B65" s="137" t="s">
        <v>286</v>
      </c>
      <c r="C65" s="137" t="s">
        <v>286</v>
      </c>
      <c r="D65" s="137"/>
      <c r="E65" s="137"/>
      <c r="F65" s="129"/>
      <c r="G65" s="137"/>
      <c r="H65" s="140"/>
      <c r="I65" s="140"/>
      <c r="J65" s="136">
        <v>6600</v>
      </c>
      <c r="K65" s="179"/>
      <c r="L65" s="136">
        <v>11937</v>
      </c>
      <c r="M65" s="182">
        <v>18</v>
      </c>
      <c r="N65" s="192">
        <v>20</v>
      </c>
      <c r="O65" s="140">
        <v>4</v>
      </c>
      <c r="P65" s="158">
        <v>6</v>
      </c>
      <c r="Q65" s="144">
        <v>8</v>
      </c>
      <c r="R65" s="183">
        <f>L65/N65*O65</f>
        <v>2387.4</v>
      </c>
      <c r="S65" s="184">
        <f>L65/M65*P65</f>
        <v>3979</v>
      </c>
      <c r="T65" s="183">
        <f>L65/M65*Q65</f>
        <v>5305.333333333333</v>
      </c>
      <c r="U65" s="185"/>
      <c r="V65" s="176">
        <v>0.1</v>
      </c>
      <c r="W65" s="176">
        <v>0.2</v>
      </c>
      <c r="X65" s="177">
        <v>0.125</v>
      </c>
      <c r="Y65" s="176">
        <v>0.25</v>
      </c>
      <c r="Z65" s="178">
        <v>0.15</v>
      </c>
      <c r="AA65" s="178">
        <v>0.3</v>
      </c>
      <c r="AB65" s="186">
        <v>1</v>
      </c>
      <c r="AC65" s="187">
        <v>1</v>
      </c>
      <c r="AD65" s="188">
        <v>1</v>
      </c>
      <c r="AE65" s="188">
        <v>1</v>
      </c>
      <c r="AF65" s="188">
        <v>1</v>
      </c>
      <c r="AG65" s="188">
        <v>1</v>
      </c>
      <c r="AH65" s="190">
        <f>J65*X65/N65*AB65</f>
        <v>41.25</v>
      </c>
      <c r="AI65" s="188">
        <f>J65*Y65/N65*AC65</f>
        <v>82.5</v>
      </c>
      <c r="AJ65" s="188">
        <f>J65*X65/M65*AD65</f>
        <v>45.833333333333336</v>
      </c>
      <c r="AK65" s="188">
        <f>J65*Y65/M65*AE65</f>
        <v>91.666666666666671</v>
      </c>
      <c r="AL65" s="190">
        <f>J65*X65/M65*AF65</f>
        <v>45.833333333333336</v>
      </c>
      <c r="AM65" s="188">
        <f>J65*Y65/M65*AG65</f>
        <v>91.666666666666671</v>
      </c>
      <c r="AN65" s="182">
        <v>1</v>
      </c>
      <c r="AO65" s="188">
        <f>J65*Y65/N65*AN65</f>
        <v>82.5</v>
      </c>
      <c r="AP65" s="182">
        <v>1</v>
      </c>
      <c r="AQ65" s="191">
        <f>J65*Y65/M65*AP65</f>
        <v>91.666666666666671</v>
      </c>
      <c r="AR65" s="130">
        <v>1</v>
      </c>
      <c r="AS65" s="191">
        <f>J65*Y65/M65*AR65</f>
        <v>91.666666666666671</v>
      </c>
      <c r="AT65" s="130">
        <f>J65*X64</f>
        <v>825</v>
      </c>
      <c r="AU65" s="194">
        <f>J65*Y64</f>
        <v>1650</v>
      </c>
      <c r="AV65" s="191">
        <f>J65*Z65</f>
        <v>990</v>
      </c>
      <c r="AW65" s="194">
        <f>J65*AA65</f>
        <v>1980</v>
      </c>
      <c r="AX65" s="130">
        <f>J65*Z65</f>
        <v>990</v>
      </c>
      <c r="AY65" s="130">
        <f>J65*AA65</f>
        <v>1980</v>
      </c>
      <c r="AZ65" s="130"/>
      <c r="BA65" s="130"/>
      <c r="BB65" s="547"/>
      <c r="BC65" s="154"/>
      <c r="BD65" s="136">
        <f>J65*W65</f>
        <v>1320</v>
      </c>
      <c r="BE65" s="130"/>
      <c r="BF65" s="185"/>
      <c r="BG65" s="185"/>
    </row>
    <row r="66" spans="1:59" ht="11.25" hidden="1" customHeight="1">
      <c r="A66" s="129">
        <v>1</v>
      </c>
      <c r="B66" s="129" t="s">
        <v>464</v>
      </c>
      <c r="C66" s="129" t="s">
        <v>450</v>
      </c>
      <c r="D66" s="195" t="s">
        <v>411</v>
      </c>
      <c r="E66" s="129" t="s">
        <v>288</v>
      </c>
      <c r="F66" s="129">
        <v>9</v>
      </c>
      <c r="G66" s="129">
        <v>0</v>
      </c>
      <c r="H66" s="130"/>
      <c r="I66" s="196">
        <f>(O66/18)+(P66+Q66)/18</f>
        <v>1</v>
      </c>
      <c r="J66" s="130">
        <v>17697</v>
      </c>
      <c r="K66" s="176"/>
      <c r="L66" s="191">
        <f>J66*2.4</f>
        <v>42472.799999999996</v>
      </c>
      <c r="M66" s="130">
        <v>18</v>
      </c>
      <c r="N66" s="130">
        <v>18</v>
      </c>
      <c r="O66" s="136"/>
      <c r="P66" s="130">
        <v>13</v>
      </c>
      <c r="Q66" s="130">
        <v>5</v>
      </c>
      <c r="R66" s="189">
        <f>L66/M66*O66</f>
        <v>0</v>
      </c>
      <c r="S66" s="191">
        <f>L66/M66*P66</f>
        <v>30674.799999999999</v>
      </c>
      <c r="T66" s="191">
        <f>L66/M66*Q66</f>
        <v>11798</v>
      </c>
      <c r="U66" s="191">
        <f>(R66+S66+T66)*25%</f>
        <v>10618.2</v>
      </c>
      <c r="V66" s="176">
        <v>0.1</v>
      </c>
      <c r="W66" s="176">
        <v>0.2</v>
      </c>
      <c r="X66" s="177">
        <v>0.125</v>
      </c>
      <c r="Y66" s="176">
        <v>0.25</v>
      </c>
      <c r="Z66" s="178">
        <v>0.15</v>
      </c>
      <c r="AA66" s="178">
        <v>0.3</v>
      </c>
      <c r="AB66" s="130"/>
      <c r="AC66" s="130"/>
      <c r="AD66" s="130"/>
      <c r="AE66" s="130"/>
      <c r="AF66" s="130"/>
      <c r="AG66" s="130"/>
      <c r="AH66" s="130"/>
      <c r="AI66" s="130"/>
      <c r="AJ66" s="191">
        <f>J66*V66/M66*AD66</f>
        <v>0</v>
      </c>
      <c r="AK66" s="130"/>
      <c r="AL66" s="191">
        <f>J66*V66/M66*AF66</f>
        <v>0</v>
      </c>
      <c r="AM66" s="130"/>
      <c r="AN66" s="130"/>
      <c r="AO66" s="130"/>
      <c r="AP66" s="130"/>
      <c r="AQ66" s="130"/>
      <c r="AR66" s="130"/>
      <c r="AS66" s="130"/>
      <c r="AT66" s="130"/>
      <c r="AU66" s="130"/>
      <c r="AV66" s="130">
        <v>2655</v>
      </c>
      <c r="AW66" s="130"/>
      <c r="AX66" s="130"/>
      <c r="AY66" s="130"/>
      <c r="AZ66" s="130"/>
      <c r="BA66" s="130"/>
      <c r="BB66" s="549">
        <f>(J66*K66)/18*(O66+P66+Q66)</f>
        <v>0</v>
      </c>
      <c r="BC66" s="191"/>
      <c r="BD66" s="130">
        <v>3539</v>
      </c>
      <c r="BE66" s="191"/>
      <c r="BF66" s="191">
        <f>R66+S66+T66+U66+AH66++AI66+AJ66+AK66+AL66+AM66+AO66+AQ66+AS66+AT66+AU66+AV66+AW66+AX66+AY66+BC66+BD66+BE66+BB66</f>
        <v>59285</v>
      </c>
      <c r="BG66" s="191">
        <f>S66+T66+U66+V66+AI66++AJ66+AK66+AL66+AM66+AN66+AP66+AR66+AT66+AU66+AV66+AW66+AX66+AY66+AZ66+BD66+BE66+BF66+BC66</f>
        <v>118570.1</v>
      </c>
    </row>
    <row r="67" spans="1:59" ht="11.25" hidden="1" customHeight="1">
      <c r="A67" s="129">
        <v>2</v>
      </c>
      <c r="B67" s="129" t="s">
        <v>409</v>
      </c>
      <c r="C67" s="129" t="s">
        <v>410</v>
      </c>
      <c r="D67" s="195" t="s">
        <v>412</v>
      </c>
      <c r="E67" s="129" t="s">
        <v>288</v>
      </c>
      <c r="F67" s="129">
        <v>9</v>
      </c>
      <c r="G67" s="129">
        <v>0</v>
      </c>
      <c r="H67" s="130"/>
      <c r="I67" s="196">
        <f>(O67/18)+(P67+Q67)/18</f>
        <v>1.3333333333333333</v>
      </c>
      <c r="J67" s="130">
        <v>17697</v>
      </c>
      <c r="K67" s="176"/>
      <c r="L67" s="191">
        <f>J67*2.4</f>
        <v>42472.799999999996</v>
      </c>
      <c r="M67" s="130">
        <v>18</v>
      </c>
      <c r="N67" s="130">
        <v>18</v>
      </c>
      <c r="O67" s="136"/>
      <c r="P67" s="130">
        <v>13</v>
      </c>
      <c r="Q67" s="130">
        <v>11</v>
      </c>
      <c r="R67" s="189">
        <f>L67/M67*O67</f>
        <v>0</v>
      </c>
      <c r="S67" s="191">
        <f>L67/M67*P67</f>
        <v>30674.799999999999</v>
      </c>
      <c r="T67" s="191">
        <f>L67/M67*Q67</f>
        <v>25955.599999999999</v>
      </c>
      <c r="U67" s="191">
        <f>(R67+S67+T67)*25%</f>
        <v>14157.599999999999</v>
      </c>
      <c r="V67" s="176">
        <v>0.1</v>
      </c>
      <c r="W67" s="176">
        <v>0.2</v>
      </c>
      <c r="X67" s="177">
        <v>0.125</v>
      </c>
      <c r="Y67" s="176">
        <v>0.25</v>
      </c>
      <c r="Z67" s="178">
        <v>0.15</v>
      </c>
      <c r="AA67" s="178">
        <v>0.3</v>
      </c>
      <c r="AB67" s="130"/>
      <c r="AC67" s="130"/>
      <c r="AD67" s="130">
        <v>13</v>
      </c>
      <c r="AE67" s="130"/>
      <c r="AF67" s="130">
        <v>10</v>
      </c>
      <c r="AG67" s="130"/>
      <c r="AH67" s="130"/>
      <c r="AI67" s="130"/>
      <c r="AJ67" s="191">
        <f>J67*V67/M67*AD67</f>
        <v>1278.1166666666666</v>
      </c>
      <c r="AK67" s="130"/>
      <c r="AL67" s="191">
        <f>J67*V67/M67*AF67</f>
        <v>983.16666666666663</v>
      </c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549">
        <f>(J67*K67)/18*(O67+P67+Q67)</f>
        <v>0</v>
      </c>
      <c r="BC67" s="130"/>
      <c r="BD67" s="130">
        <v>3539</v>
      </c>
      <c r="BE67" s="130"/>
      <c r="BF67" s="191">
        <f>R67+S67+T67+U67+AH67++AI67+AJ67+AK67+AL67+AM67+AO67+AQ67+AS67+AT67+AU67+AV67+AW67+AX67+AY67+BC67+BD67+BE67+BB67</f>
        <v>76588.28333333334</v>
      </c>
      <c r="BG67" s="191">
        <f>S67+T67+U67+V67+AI67++AJ67+AK67+AL67+AM67+AN67+AP67+AR67+AT67+AU67+AV67+AW67+AX67+AY67+AZ67+BD67+BE67+BF67+BC67</f>
        <v>153176.66666666669</v>
      </c>
    </row>
    <row r="68" spans="1:59" hidden="1"/>
    <row r="69" spans="1:59" ht="12.75" hidden="1">
      <c r="AH69" s="91" t="s">
        <v>303</v>
      </c>
      <c r="AI69" s="91"/>
      <c r="AJ69" s="91"/>
      <c r="AL69" s="193"/>
      <c r="AO69" s="132"/>
      <c r="AQ69" s="91" t="s">
        <v>13</v>
      </c>
      <c r="AR69" s="91"/>
      <c r="AS69" s="206"/>
    </row>
    <row r="70" spans="1:59" ht="12.75" hidden="1">
      <c r="AH70" s="91" t="s">
        <v>474</v>
      </c>
      <c r="AI70" s="91"/>
      <c r="AJ70" s="91"/>
      <c r="AL70" s="193"/>
      <c r="AQ70" s="91" t="s">
        <v>304</v>
      </c>
      <c r="AR70" s="91"/>
      <c r="AS70" s="206"/>
    </row>
    <row r="71" spans="1:59" ht="12.75" hidden="1">
      <c r="AH71" s="91" t="s">
        <v>407</v>
      </c>
      <c r="AL71" s="193"/>
      <c r="AQ71" s="91" t="s">
        <v>236</v>
      </c>
      <c r="AS71" s="204"/>
    </row>
  </sheetData>
  <mergeCells count="49">
    <mergeCell ref="AB62:AC62"/>
    <mergeCell ref="AD62:AE62"/>
    <mergeCell ref="AF62:AG62"/>
    <mergeCell ref="AH62:AI62"/>
    <mergeCell ref="AN62:AO62"/>
    <mergeCell ref="BC60:BC63"/>
    <mergeCell ref="BD60:BD63"/>
    <mergeCell ref="BE60:BE62"/>
    <mergeCell ref="BF60:BF63"/>
    <mergeCell ref="AH60:AM61"/>
    <mergeCell ref="AN60:AS61"/>
    <mergeCell ref="AT60:AY61"/>
    <mergeCell ref="BB60:BB64"/>
    <mergeCell ref="AJ62:AK62"/>
    <mergeCell ref="AL62:AM62"/>
    <mergeCell ref="AV62:AW62"/>
    <mergeCell ref="AX62:AY62"/>
    <mergeCell ref="AP62:AQ62"/>
    <mergeCell ref="AR62:AS62"/>
    <mergeCell ref="AT62:AU62"/>
    <mergeCell ref="AS2:AX2"/>
    <mergeCell ref="AS3:AX3"/>
    <mergeCell ref="AS4:AX4"/>
    <mergeCell ref="AS5:AX5"/>
    <mergeCell ref="BD9:BD12"/>
    <mergeCell ref="AS6:AX6"/>
    <mergeCell ref="AS7:AX7"/>
    <mergeCell ref="AS8:AX8"/>
    <mergeCell ref="AR11:AS11"/>
    <mergeCell ref="AT11:AU11"/>
    <mergeCell ref="AV11:AW11"/>
    <mergeCell ref="BB9:BB13"/>
    <mergeCell ref="BC9:BC12"/>
    <mergeCell ref="BG9:BG12"/>
    <mergeCell ref="BG60:BG63"/>
    <mergeCell ref="AB11:AC11"/>
    <mergeCell ref="AD11:AE11"/>
    <mergeCell ref="AF11:AG11"/>
    <mergeCell ref="AH9:AM10"/>
    <mergeCell ref="AH11:AI11"/>
    <mergeCell ref="AJ11:AK11"/>
    <mergeCell ref="AL11:AM11"/>
    <mergeCell ref="BF9:BF12"/>
    <mergeCell ref="AN9:AS10"/>
    <mergeCell ref="AT9:AY10"/>
    <mergeCell ref="AN11:AO11"/>
    <mergeCell ref="AX11:AY11"/>
    <mergeCell ref="AP11:AQ11"/>
    <mergeCell ref="BE9:BE11"/>
  </mergeCells>
  <phoneticPr fontId="29" type="noConversion"/>
  <pageMargins left="0.43" right="0.43" top="0.66" bottom="0.65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 enableFormatConditionsCalculation="0"/>
  <dimension ref="A1:CC56"/>
  <sheetViews>
    <sheetView zoomScaleSheetLayoutView="100" workbookViewId="0">
      <pane xSplit="18" ySplit="19" topLeftCell="S20" activePane="bottomRight" state="frozen"/>
      <selection activeCell="R50" sqref="R50"/>
      <selection pane="topRight" activeCell="R50" sqref="R50"/>
      <selection pane="bottomLeft" activeCell="R50" sqref="R50"/>
      <selection pane="bottomRight" activeCell="BB23" sqref="BB23"/>
    </sheetView>
  </sheetViews>
  <sheetFormatPr defaultRowHeight="10.5"/>
  <cols>
    <col min="1" max="1" width="3.140625" style="207" customWidth="1"/>
    <col min="2" max="2" width="28.5703125" style="207" customWidth="1"/>
    <col min="3" max="4" width="8.28515625" style="207" customWidth="1"/>
    <col min="5" max="5" width="0" style="207" hidden="1" customWidth="1"/>
    <col min="6" max="6" width="7" style="207" customWidth="1"/>
    <col min="7" max="7" width="6.140625" style="207" customWidth="1"/>
    <col min="8" max="8" width="4.28515625" style="208" customWidth="1"/>
    <col min="9" max="9" width="4.140625" style="207" customWidth="1"/>
    <col min="10" max="10" width="5.140625" style="207" customWidth="1"/>
    <col min="11" max="11" width="5.42578125" style="207" customWidth="1"/>
    <col min="12" max="12" width="2.85546875" style="207" customWidth="1"/>
    <col min="13" max="13" width="3.140625" style="207" customWidth="1"/>
    <col min="14" max="14" width="4" style="209" customWidth="1"/>
    <col min="15" max="15" width="1.85546875" style="207" customWidth="1"/>
    <col min="16" max="16" width="3.28515625" style="207" customWidth="1"/>
    <col min="17" max="17" width="4.42578125" style="207" customWidth="1"/>
    <col min="18" max="18" width="4.28515625" style="207" customWidth="1"/>
    <col min="19" max="19" width="6.42578125" style="207" customWidth="1"/>
    <col min="20" max="20" width="6.7109375" style="207" hidden="1" customWidth="1"/>
    <col min="21" max="21" width="6.28515625" style="207" customWidth="1"/>
    <col min="22" max="22" width="6.140625" style="207" customWidth="1"/>
    <col min="23" max="23" width="6.5703125" style="207" customWidth="1"/>
    <col min="24" max="24" width="3.5703125" style="207" hidden="1" customWidth="1"/>
    <col min="25" max="25" width="3.28515625" style="207" hidden="1" customWidth="1"/>
    <col min="26" max="26" width="4.85546875" style="207" hidden="1" customWidth="1"/>
    <col min="27" max="27" width="3.42578125" style="207" hidden="1" customWidth="1"/>
    <col min="28" max="28" width="3.85546875" style="207" hidden="1" customWidth="1"/>
    <col min="29" max="29" width="3.28515625" style="207" hidden="1" customWidth="1"/>
    <col min="30" max="30" width="3.85546875" style="207" customWidth="1"/>
    <col min="31" max="31" width="5.140625" style="207" customWidth="1"/>
    <col min="32" max="32" width="5.42578125" style="207" customWidth="1"/>
    <col min="33" max="33" width="4.85546875" style="207" customWidth="1"/>
    <col min="34" max="34" width="4" style="207" customWidth="1"/>
    <col min="35" max="35" width="5" style="207" customWidth="1"/>
    <col min="36" max="37" width="5.7109375" style="207" customWidth="1"/>
    <col min="38" max="38" width="5.140625" style="207" customWidth="1"/>
    <col min="39" max="40" width="5" style="207" customWidth="1"/>
    <col min="41" max="41" width="4.85546875" style="207" customWidth="1"/>
    <col min="42" max="42" width="3.42578125" style="207" customWidth="1"/>
    <col min="43" max="43" width="4.28515625" style="207" customWidth="1"/>
    <col min="44" max="44" width="3.28515625" style="207" customWidth="1"/>
    <col min="45" max="45" width="4.42578125" style="207" customWidth="1"/>
    <col min="46" max="46" width="3.42578125" style="207" customWidth="1"/>
    <col min="47" max="48" width="4.140625" style="207" customWidth="1"/>
    <col min="49" max="49" width="5.140625" style="207" customWidth="1"/>
    <col min="50" max="50" width="5.5703125" style="207" customWidth="1"/>
    <col min="51" max="51" width="4.5703125" style="207" customWidth="1"/>
    <col min="52" max="52" width="4.140625" style="207" customWidth="1"/>
    <col min="53" max="53" width="4.5703125" style="207" customWidth="1"/>
    <col min="54" max="54" width="6.140625" style="207" customWidth="1"/>
    <col min="55" max="55" width="6.85546875" style="207" customWidth="1"/>
    <col min="56" max="56" width="6.5703125" style="207" customWidth="1"/>
    <col min="57" max="57" width="5.140625" style="207" customWidth="1"/>
    <col min="58" max="58" width="5.28515625" style="207" customWidth="1"/>
    <col min="59" max="59" width="5.42578125" style="207" customWidth="1"/>
    <col min="60" max="60" width="7" style="207" customWidth="1"/>
    <col min="61" max="61" width="8.85546875" style="207" customWidth="1"/>
    <col min="62" max="62" width="5" style="207" customWidth="1"/>
    <col min="63" max="63" width="6.28515625" style="207" customWidth="1"/>
    <col min="64" max="16384" width="9.140625" style="207"/>
  </cols>
  <sheetData>
    <row r="1" spans="1:61" ht="9" customHeight="1">
      <c r="B1" s="352" t="s">
        <v>258</v>
      </c>
      <c r="C1" s="353"/>
      <c r="D1" s="353"/>
      <c r="E1" s="353"/>
      <c r="F1" s="353"/>
      <c r="G1" s="353"/>
      <c r="H1" s="354"/>
      <c r="I1" s="353"/>
      <c r="J1" s="353"/>
      <c r="K1" s="353"/>
      <c r="L1" s="353"/>
      <c r="M1" s="353"/>
      <c r="N1" s="355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210" t="s">
        <v>305</v>
      </c>
      <c r="AW1" s="211"/>
      <c r="AX1" s="211"/>
      <c r="AY1" s="211"/>
      <c r="AZ1" s="212"/>
      <c r="BA1" s="213">
        <v>0</v>
      </c>
      <c r="BB1" s="213"/>
      <c r="BC1" s="213"/>
      <c r="BD1" s="213"/>
      <c r="BE1" s="214" t="s">
        <v>306</v>
      </c>
      <c r="BF1" s="214" t="s">
        <v>307</v>
      </c>
      <c r="BG1" s="214" t="s">
        <v>308</v>
      </c>
      <c r="BH1" s="213" t="s">
        <v>309</v>
      </c>
      <c r="BI1" s="213"/>
    </row>
    <row r="2" spans="1:61" ht="11.25" customHeight="1">
      <c r="B2" s="353"/>
      <c r="C2" s="353"/>
      <c r="D2" s="353"/>
      <c r="E2" s="353"/>
      <c r="F2" s="356" t="s">
        <v>59</v>
      </c>
      <c r="G2" s="353"/>
      <c r="H2" s="354"/>
      <c r="I2" s="353"/>
      <c r="J2" s="353"/>
      <c r="K2" s="353"/>
      <c r="L2" s="353"/>
      <c r="M2" s="353"/>
      <c r="N2" s="355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210" t="s">
        <v>311</v>
      </c>
      <c r="AW2" s="211"/>
      <c r="AX2" s="211"/>
      <c r="AY2" s="211"/>
      <c r="AZ2" s="212"/>
      <c r="BA2" s="213">
        <v>1</v>
      </c>
      <c r="BB2" s="213"/>
      <c r="BC2" s="213"/>
      <c r="BD2" s="213"/>
      <c r="BE2" s="213">
        <v>4</v>
      </c>
      <c r="BF2" s="213">
        <v>6</v>
      </c>
      <c r="BG2" s="213">
        <v>3</v>
      </c>
      <c r="BH2" s="213">
        <f>SUM(BA2:BG2)</f>
        <v>14</v>
      </c>
      <c r="BI2" s="213"/>
    </row>
    <row r="3" spans="1:61" ht="12">
      <c r="B3" s="357" t="s">
        <v>259</v>
      </c>
      <c r="C3" s="353"/>
      <c r="D3" s="353"/>
      <c r="E3" s="353"/>
      <c r="F3" s="353"/>
      <c r="G3" s="353"/>
      <c r="H3" s="354"/>
      <c r="I3" s="353"/>
      <c r="J3" s="353"/>
      <c r="K3" s="353"/>
      <c r="L3" s="353"/>
      <c r="M3" s="353"/>
      <c r="N3" s="355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210" t="s">
        <v>312</v>
      </c>
      <c r="AW3" s="211"/>
      <c r="AX3" s="211"/>
      <c r="AY3" s="211"/>
      <c r="AZ3" s="212"/>
      <c r="BA3" s="213">
        <v>1</v>
      </c>
      <c r="BB3" s="213"/>
      <c r="BC3" s="213"/>
      <c r="BD3" s="213"/>
      <c r="BE3" s="213">
        <v>3</v>
      </c>
      <c r="BF3" s="213">
        <v>6</v>
      </c>
      <c r="BG3" s="213">
        <v>3</v>
      </c>
      <c r="BH3" s="213">
        <f>SUM(BA3:BG3)</f>
        <v>13</v>
      </c>
      <c r="BI3" s="213"/>
    </row>
    <row r="4" spans="1:61" ht="12">
      <c r="B4" s="357"/>
      <c r="C4" s="353"/>
      <c r="D4" s="353"/>
      <c r="E4" s="353"/>
      <c r="F4" s="356"/>
      <c r="G4" s="356" t="s">
        <v>130</v>
      </c>
      <c r="H4" s="354"/>
      <c r="I4" s="353"/>
      <c r="J4" s="353"/>
      <c r="K4" s="353"/>
      <c r="L4" s="353"/>
      <c r="M4" s="353"/>
      <c r="N4" s="355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210" t="s">
        <v>313</v>
      </c>
      <c r="AW4" s="211"/>
      <c r="AX4" s="211"/>
      <c r="AY4" s="211"/>
      <c r="AZ4" s="212"/>
      <c r="BA4" s="213">
        <v>14</v>
      </c>
      <c r="BB4" s="213"/>
      <c r="BC4" s="213"/>
      <c r="BD4" s="213"/>
      <c r="BE4" s="213">
        <v>25</v>
      </c>
      <c r="BF4" s="213">
        <v>50</v>
      </c>
      <c r="BG4" s="213">
        <v>14</v>
      </c>
      <c r="BH4" s="213">
        <f>SUM(BA4:BG4)</f>
        <v>103</v>
      </c>
      <c r="BI4" s="213"/>
    </row>
    <row r="5" spans="1:61" ht="12">
      <c r="B5" s="354"/>
      <c r="C5" s="353"/>
      <c r="D5" s="353"/>
      <c r="E5" s="353"/>
      <c r="F5" s="356" t="s">
        <v>62</v>
      </c>
      <c r="G5" s="356"/>
      <c r="H5" s="354"/>
      <c r="I5" s="353"/>
      <c r="J5" s="353"/>
      <c r="K5" s="353"/>
      <c r="L5" s="353"/>
      <c r="M5" s="353"/>
      <c r="N5" s="355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210" t="s">
        <v>314</v>
      </c>
      <c r="AW5" s="211"/>
      <c r="AX5" s="211"/>
      <c r="AY5" s="211"/>
      <c r="AZ5" s="212"/>
      <c r="BA5" s="213"/>
      <c r="BB5" s="213"/>
      <c r="BC5" s="213"/>
      <c r="BD5" s="213"/>
      <c r="BE5" s="213">
        <v>83</v>
      </c>
      <c r="BF5" s="216">
        <v>212</v>
      </c>
      <c r="BG5" s="213">
        <v>111</v>
      </c>
      <c r="BH5" s="213">
        <f>SUM(BE5:BG5)</f>
        <v>406</v>
      </c>
      <c r="BI5" s="213"/>
    </row>
    <row r="6" spans="1:61" ht="12">
      <c r="B6" s="353" t="s">
        <v>260</v>
      </c>
      <c r="C6" s="353"/>
      <c r="D6" s="353"/>
      <c r="E6" s="353"/>
      <c r="F6" s="353"/>
      <c r="G6" s="353"/>
      <c r="H6" s="354"/>
      <c r="I6" s="353"/>
      <c r="J6" s="353"/>
      <c r="K6" s="353"/>
      <c r="L6" s="353"/>
      <c r="M6" s="353"/>
      <c r="N6" s="355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210" t="s">
        <v>395</v>
      </c>
      <c r="AW6" s="211"/>
      <c r="AX6" s="211"/>
      <c r="AY6" s="211"/>
      <c r="AZ6" s="212"/>
      <c r="BA6" s="213"/>
      <c r="BB6" s="213"/>
      <c r="BC6" s="213"/>
      <c r="BD6" s="213"/>
      <c r="BE6" s="213"/>
      <c r="BF6" s="213"/>
      <c r="BG6" s="213"/>
      <c r="BH6" s="213">
        <f>SUM(BA6:BG6)</f>
        <v>0</v>
      </c>
      <c r="BI6" s="213"/>
    </row>
    <row r="7" spans="1:61" ht="12" customHeight="1">
      <c r="B7" s="354" t="s">
        <v>413</v>
      </c>
      <c r="C7" s="353"/>
      <c r="D7" s="353"/>
      <c r="E7" s="353"/>
      <c r="F7" s="353"/>
      <c r="G7" s="353"/>
      <c r="H7" s="354"/>
      <c r="I7" s="353"/>
      <c r="J7" s="353"/>
      <c r="K7" s="353"/>
      <c r="L7" s="353"/>
      <c r="M7" s="353"/>
      <c r="N7" s="355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210" t="s">
        <v>316</v>
      </c>
      <c r="AW7" s="211"/>
      <c r="AX7" s="211"/>
      <c r="AY7" s="211"/>
      <c r="AZ7" s="212"/>
      <c r="BA7" s="213"/>
      <c r="BB7" s="213"/>
      <c r="BC7" s="213"/>
      <c r="BD7" s="213"/>
      <c r="BE7" s="213">
        <v>83</v>
      </c>
      <c r="BF7" s="213">
        <v>212</v>
      </c>
      <c r="BG7" s="213">
        <v>111</v>
      </c>
      <c r="BH7" s="213">
        <f>SUM(BA7:BG7)</f>
        <v>406</v>
      </c>
      <c r="BI7" s="213"/>
    </row>
    <row r="8" spans="1:61" ht="8.25" customHeight="1">
      <c r="B8" s="354"/>
      <c r="C8" s="353"/>
      <c r="D8" s="353"/>
      <c r="E8" s="353"/>
      <c r="F8" s="353"/>
      <c r="G8" s="353"/>
      <c r="H8" s="354"/>
      <c r="I8" s="353"/>
      <c r="J8" s="353"/>
      <c r="K8" s="353"/>
      <c r="L8" s="353"/>
      <c r="M8" s="353"/>
      <c r="N8" s="355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210" t="s">
        <v>317</v>
      </c>
      <c r="AW8" s="211"/>
      <c r="AX8" s="211"/>
      <c r="AY8" s="211"/>
      <c r="AZ8" s="212"/>
      <c r="BA8" s="213"/>
      <c r="BB8" s="213"/>
      <c r="BC8" s="213"/>
      <c r="BD8" s="213"/>
      <c r="BE8" s="213">
        <f>BE9+BE10+BE11+BE12+BE13+BE14+BE15</f>
        <v>0</v>
      </c>
      <c r="BF8" s="213">
        <f>BF9+BF10+BF11+BF12+BF13+BF14+BF15</f>
        <v>0</v>
      </c>
      <c r="BG8" s="213">
        <f>BG9+BG10+BG11+BG12+BG13+BG14+BG15</f>
        <v>0</v>
      </c>
      <c r="BH8" s="213">
        <f>BH9+BH10+BH11+BH12+BH13+BH14+BH15</f>
        <v>0</v>
      </c>
      <c r="BI8" s="213"/>
    </row>
    <row r="9" spans="1:61" ht="12" hidden="1">
      <c r="B9" s="353"/>
      <c r="C9" s="353"/>
      <c r="D9" s="353"/>
      <c r="E9" s="353"/>
      <c r="F9" s="353"/>
      <c r="G9" s="353"/>
      <c r="H9" s="354"/>
      <c r="I9" s="353"/>
      <c r="J9" s="353"/>
      <c r="K9" s="353"/>
      <c r="L9" s="353"/>
      <c r="M9" s="353"/>
      <c r="N9" s="355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X9" s="217"/>
      <c r="AY9" s="1203" t="s">
        <v>318</v>
      </c>
      <c r="AZ9" s="1204"/>
      <c r="BA9" s="1204"/>
      <c r="BB9" s="1204"/>
      <c r="BC9" s="1204"/>
      <c r="BD9" s="1204"/>
      <c r="BE9" s="1204"/>
      <c r="BF9" s="1205"/>
      <c r="BG9" s="213"/>
      <c r="BH9" s="213">
        <f t="shared" ref="BH9:BI15" si="0">SUM(BG9:BG9)</f>
        <v>0</v>
      </c>
      <c r="BI9" s="213">
        <f t="shared" si="0"/>
        <v>0</v>
      </c>
    </row>
    <row r="10" spans="1:61" ht="12" hidden="1">
      <c r="B10" s="354" t="s">
        <v>63</v>
      </c>
      <c r="C10" s="353"/>
      <c r="D10" s="353"/>
      <c r="E10" s="353"/>
      <c r="F10" s="353"/>
      <c r="G10" s="353"/>
      <c r="H10" s="354"/>
      <c r="I10" s="353"/>
      <c r="J10" s="353"/>
      <c r="K10" s="353"/>
      <c r="L10" s="353"/>
      <c r="M10" s="353"/>
      <c r="N10" s="355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X10" s="217"/>
      <c r="AY10" s="1203" t="s">
        <v>319</v>
      </c>
      <c r="AZ10" s="1204"/>
      <c r="BA10" s="1204"/>
      <c r="BB10" s="1204"/>
      <c r="BC10" s="1204"/>
      <c r="BD10" s="1204"/>
      <c r="BE10" s="1204"/>
      <c r="BF10" s="1205"/>
      <c r="BG10" s="213"/>
      <c r="BH10" s="213">
        <f t="shared" si="0"/>
        <v>0</v>
      </c>
      <c r="BI10" s="213">
        <f t="shared" si="0"/>
        <v>0</v>
      </c>
    </row>
    <row r="11" spans="1:61" ht="12" hidden="1">
      <c r="B11" s="353"/>
      <c r="C11" s="353"/>
      <c r="D11" s="353"/>
      <c r="E11" s="353"/>
      <c r="F11" s="353"/>
      <c r="G11" s="353"/>
      <c r="H11" s="354"/>
      <c r="I11" s="353"/>
      <c r="J11" s="353"/>
      <c r="K11" s="353"/>
      <c r="L11" s="353"/>
      <c r="M11" s="353"/>
      <c r="N11" s="355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X11" s="217"/>
      <c r="AY11" s="1203" t="s">
        <v>320</v>
      </c>
      <c r="AZ11" s="1204"/>
      <c r="BA11" s="1204"/>
      <c r="BB11" s="1204"/>
      <c r="BC11" s="1204"/>
      <c r="BD11" s="1204"/>
      <c r="BE11" s="1204"/>
      <c r="BF11" s="1205"/>
      <c r="BG11" s="213"/>
      <c r="BH11" s="213">
        <f t="shared" si="0"/>
        <v>0</v>
      </c>
      <c r="BI11" s="213">
        <f t="shared" si="0"/>
        <v>0</v>
      </c>
    </row>
    <row r="12" spans="1:61" ht="12" hidden="1">
      <c r="B12" s="353"/>
      <c r="C12" s="353"/>
      <c r="D12" s="353"/>
      <c r="E12" s="353"/>
      <c r="F12" s="353"/>
      <c r="G12" s="353"/>
      <c r="H12" s="354"/>
      <c r="I12" s="353"/>
      <c r="J12" s="353"/>
      <c r="K12" s="353"/>
      <c r="L12" s="353"/>
      <c r="M12" s="353"/>
      <c r="N12" s="355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X12" s="217"/>
      <c r="AY12" s="1203" t="s">
        <v>321</v>
      </c>
      <c r="AZ12" s="1204"/>
      <c r="BA12" s="1204"/>
      <c r="BB12" s="1204"/>
      <c r="BC12" s="1204"/>
      <c r="BD12" s="1204"/>
      <c r="BE12" s="1204"/>
      <c r="BF12" s="1205"/>
      <c r="BG12" s="213"/>
      <c r="BH12" s="213">
        <f t="shared" si="0"/>
        <v>0</v>
      </c>
      <c r="BI12" s="213">
        <f t="shared" si="0"/>
        <v>0</v>
      </c>
    </row>
    <row r="13" spans="1:61" ht="12" hidden="1">
      <c r="B13" s="353"/>
      <c r="C13" s="353"/>
      <c r="D13" s="353"/>
      <c r="E13" s="353"/>
      <c r="F13" s="353"/>
      <c r="G13" s="353"/>
      <c r="H13" s="354"/>
      <c r="I13" s="353"/>
      <c r="J13" s="353"/>
      <c r="K13" s="353"/>
      <c r="L13" s="353"/>
      <c r="M13" s="353"/>
      <c r="N13" s="355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X13" s="217"/>
      <c r="AY13" s="1203" t="s">
        <v>322</v>
      </c>
      <c r="AZ13" s="1204"/>
      <c r="BA13" s="1204"/>
      <c r="BB13" s="1204"/>
      <c r="BC13" s="1204"/>
      <c r="BD13" s="1204"/>
      <c r="BE13" s="1204"/>
      <c r="BF13" s="1205"/>
      <c r="BG13" s="213"/>
      <c r="BH13" s="213">
        <f t="shared" si="0"/>
        <v>0</v>
      </c>
      <c r="BI13" s="213">
        <f t="shared" si="0"/>
        <v>0</v>
      </c>
    </row>
    <row r="14" spans="1:61" ht="12" hidden="1">
      <c r="B14" s="353"/>
      <c r="C14" s="353"/>
      <c r="D14" s="353"/>
      <c r="E14" s="353"/>
      <c r="F14" s="353"/>
      <c r="G14" s="353"/>
      <c r="H14" s="354"/>
      <c r="I14" s="353"/>
      <c r="J14" s="353"/>
      <c r="K14" s="353" t="s">
        <v>257</v>
      </c>
      <c r="L14" s="353"/>
      <c r="M14" s="353"/>
      <c r="N14" s="355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X14" s="217"/>
      <c r="AY14" s="1203" t="s">
        <v>323</v>
      </c>
      <c r="AZ14" s="1204"/>
      <c r="BA14" s="1204"/>
      <c r="BB14" s="1204"/>
      <c r="BC14" s="1204"/>
      <c r="BD14" s="1204"/>
      <c r="BE14" s="1204"/>
      <c r="BF14" s="1205"/>
      <c r="BG14" s="213"/>
      <c r="BH14" s="213">
        <f t="shared" si="0"/>
        <v>0</v>
      </c>
      <c r="BI14" s="213">
        <f t="shared" si="0"/>
        <v>0</v>
      </c>
    </row>
    <row r="15" spans="1:61" ht="12" hidden="1">
      <c r="B15" s="353"/>
      <c r="C15" s="353"/>
      <c r="D15" s="353"/>
      <c r="E15" s="353"/>
      <c r="F15" s="353"/>
      <c r="G15" s="353"/>
      <c r="H15" s="354"/>
      <c r="I15" s="353"/>
      <c r="J15" s="353"/>
      <c r="K15" s="353"/>
      <c r="L15" s="353"/>
      <c r="M15" s="353"/>
      <c r="N15" s="355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X15" s="217"/>
      <c r="AY15" s="1203" t="s">
        <v>428</v>
      </c>
      <c r="AZ15" s="1204"/>
      <c r="BA15" s="1204"/>
      <c r="BB15" s="1204"/>
      <c r="BC15" s="1204"/>
      <c r="BD15" s="1204"/>
      <c r="BE15" s="1204"/>
      <c r="BF15" s="1205"/>
      <c r="BG15" s="213"/>
      <c r="BH15" s="213">
        <f t="shared" si="0"/>
        <v>0</v>
      </c>
      <c r="BI15" s="213">
        <f t="shared" si="0"/>
        <v>0</v>
      </c>
    </row>
    <row r="16" spans="1:61" s="215" customFormat="1" ht="10.5" customHeight="1">
      <c r="A16" s="218" t="s">
        <v>265</v>
      </c>
      <c r="B16" s="358" t="s">
        <v>266</v>
      </c>
      <c r="C16" s="1166" t="s">
        <v>396</v>
      </c>
      <c r="D16" s="1166" t="s">
        <v>329</v>
      </c>
      <c r="E16" s="1166" t="s">
        <v>268</v>
      </c>
      <c r="F16" s="359" t="s">
        <v>269</v>
      </c>
      <c r="G16" s="358" t="s">
        <v>270</v>
      </c>
      <c r="H16" s="1166" t="s">
        <v>429</v>
      </c>
      <c r="I16" s="1166" t="s">
        <v>330</v>
      </c>
      <c r="J16" s="358"/>
      <c r="K16" s="358" t="s">
        <v>271</v>
      </c>
      <c r="L16" s="360"/>
      <c r="M16" s="360"/>
      <c r="N16" s="1171" t="s">
        <v>341</v>
      </c>
      <c r="O16" s="1180" t="s">
        <v>331</v>
      </c>
      <c r="P16" s="1181"/>
      <c r="Q16" s="1181"/>
      <c r="R16" s="1182"/>
      <c r="S16" s="1186" t="s">
        <v>332</v>
      </c>
      <c r="T16" s="1187"/>
      <c r="U16" s="1187"/>
      <c r="V16" s="1188"/>
      <c r="W16" s="1189" t="s">
        <v>273</v>
      </c>
      <c r="X16" s="1180" t="s">
        <v>333</v>
      </c>
      <c r="Y16" s="1190"/>
      <c r="Z16" s="1190"/>
      <c r="AA16" s="1191"/>
      <c r="AB16" s="361"/>
      <c r="AC16" s="361"/>
      <c r="AD16" s="1176" t="s">
        <v>334</v>
      </c>
      <c r="AE16" s="1176"/>
      <c r="AF16" s="1176"/>
      <c r="AG16" s="1176"/>
      <c r="AH16" s="1176"/>
      <c r="AI16" s="1177"/>
      <c r="AJ16" s="1197" t="s">
        <v>443</v>
      </c>
      <c r="AK16" s="1198"/>
      <c r="AL16" s="1198"/>
      <c r="AM16" s="1198"/>
      <c r="AN16" s="1198"/>
      <c r="AO16" s="1199"/>
      <c r="AP16" s="683" t="s">
        <v>64</v>
      </c>
      <c r="AQ16" s="684"/>
      <c r="AR16" s="684"/>
      <c r="AS16" s="684"/>
      <c r="AT16" s="684"/>
      <c r="AU16" s="685"/>
      <c r="AV16" s="1206" t="s">
        <v>336</v>
      </c>
      <c r="AW16" s="1207"/>
      <c r="AX16" s="1207"/>
      <c r="AY16" s="1207"/>
      <c r="AZ16" s="1207"/>
      <c r="BA16" s="1208"/>
      <c r="BB16" s="417"/>
      <c r="BC16" s="417"/>
      <c r="BD16" s="1163" t="s">
        <v>433</v>
      </c>
      <c r="BE16" s="1163" t="s">
        <v>65</v>
      </c>
      <c r="BF16" s="1196" t="s">
        <v>338</v>
      </c>
      <c r="BG16" s="1192" t="s">
        <v>66</v>
      </c>
      <c r="BH16" s="1164" t="s">
        <v>275</v>
      </c>
      <c r="BI16" s="1164" t="s">
        <v>150</v>
      </c>
    </row>
    <row r="17" spans="1:71" s="215" customFormat="1" ht="15" customHeight="1">
      <c r="A17" s="219" t="s">
        <v>276</v>
      </c>
      <c r="B17" s="362"/>
      <c r="C17" s="1167"/>
      <c r="D17" s="1169"/>
      <c r="E17" s="1167"/>
      <c r="F17" s="364" t="s">
        <v>278</v>
      </c>
      <c r="G17" s="362" t="s">
        <v>279</v>
      </c>
      <c r="H17" s="1167"/>
      <c r="I17" s="1167"/>
      <c r="J17" s="362"/>
      <c r="K17" s="362" t="s">
        <v>280</v>
      </c>
      <c r="L17" s="362"/>
      <c r="M17" s="365"/>
      <c r="N17" s="1172"/>
      <c r="O17" s="1183"/>
      <c r="P17" s="1184"/>
      <c r="Q17" s="1184"/>
      <c r="R17" s="1185"/>
      <c r="S17" s="1159" t="s">
        <v>342</v>
      </c>
      <c r="T17" s="358"/>
      <c r="U17" s="1159" t="s">
        <v>343</v>
      </c>
      <c r="V17" s="1162" t="s">
        <v>67</v>
      </c>
      <c r="W17" s="1189"/>
      <c r="X17" s="366"/>
      <c r="Y17" s="367"/>
      <c r="Z17" s="367"/>
      <c r="AA17" s="368"/>
      <c r="AB17" s="367"/>
      <c r="AC17" s="367"/>
      <c r="AD17" s="1178"/>
      <c r="AE17" s="1178"/>
      <c r="AF17" s="1178"/>
      <c r="AG17" s="1178"/>
      <c r="AH17" s="1178"/>
      <c r="AI17" s="1174"/>
      <c r="AJ17" s="1200"/>
      <c r="AK17" s="1201"/>
      <c r="AL17" s="1201"/>
      <c r="AM17" s="1201"/>
      <c r="AN17" s="1201"/>
      <c r="AO17" s="1202"/>
      <c r="AP17" s="686"/>
      <c r="AQ17" s="687"/>
      <c r="AR17" s="687"/>
      <c r="AS17" s="687"/>
      <c r="AT17" s="687"/>
      <c r="AU17" s="688"/>
      <c r="AV17" s="1195"/>
      <c r="AW17" s="1209"/>
      <c r="AX17" s="1209"/>
      <c r="AY17" s="1209"/>
      <c r="AZ17" s="1209"/>
      <c r="BA17" s="1210"/>
      <c r="BB17" s="424" t="s">
        <v>54</v>
      </c>
      <c r="BC17" s="424" t="s">
        <v>55</v>
      </c>
      <c r="BD17" s="1164"/>
      <c r="BE17" s="1164"/>
      <c r="BF17" s="1196"/>
      <c r="BG17" s="1193"/>
      <c r="BH17" s="1164"/>
      <c r="BI17" s="1164"/>
    </row>
    <row r="18" spans="1:71" s="215" customFormat="1" ht="12" customHeight="1">
      <c r="A18" s="220"/>
      <c r="B18" s="371"/>
      <c r="C18" s="1168"/>
      <c r="D18" s="1170"/>
      <c r="E18" s="1168"/>
      <c r="F18" s="370" t="s">
        <v>283</v>
      </c>
      <c r="G18" s="371"/>
      <c r="H18" s="1168"/>
      <c r="I18" s="1168"/>
      <c r="J18" s="371" t="s">
        <v>340</v>
      </c>
      <c r="K18" s="371" t="s">
        <v>284</v>
      </c>
      <c r="L18" s="371">
        <v>18</v>
      </c>
      <c r="M18" s="369">
        <v>18</v>
      </c>
      <c r="N18" s="1172"/>
      <c r="O18" s="362"/>
      <c r="P18" s="373" t="s">
        <v>342</v>
      </c>
      <c r="Q18" s="373" t="s">
        <v>343</v>
      </c>
      <c r="R18" s="373" t="s">
        <v>68</v>
      </c>
      <c r="S18" s="1160"/>
      <c r="T18" s="362"/>
      <c r="U18" s="1160"/>
      <c r="V18" s="1160"/>
      <c r="W18" s="1189"/>
      <c r="X18" s="374">
        <v>0.1</v>
      </c>
      <c r="Y18" s="374">
        <v>0.2</v>
      </c>
      <c r="Z18" s="375">
        <v>0.125</v>
      </c>
      <c r="AA18" s="374">
        <v>0.25</v>
      </c>
      <c r="AB18" s="374" t="s">
        <v>434</v>
      </c>
      <c r="AC18" s="374" t="s">
        <v>434</v>
      </c>
      <c r="AD18" s="1174" t="s">
        <v>349</v>
      </c>
      <c r="AE18" s="1175"/>
      <c r="AF18" s="1175" t="s">
        <v>350</v>
      </c>
      <c r="AG18" s="1175"/>
      <c r="AH18" s="1175" t="s">
        <v>344</v>
      </c>
      <c r="AI18" s="1175"/>
      <c r="AJ18" s="1175" t="s">
        <v>349</v>
      </c>
      <c r="AK18" s="1175"/>
      <c r="AL18" s="1161" t="s">
        <v>350</v>
      </c>
      <c r="AM18" s="1161"/>
      <c r="AN18" s="1161" t="s">
        <v>344</v>
      </c>
      <c r="AO18" s="1161"/>
      <c r="AP18" s="1178" t="s">
        <v>347</v>
      </c>
      <c r="AQ18" s="1174"/>
      <c r="AR18" s="1161" t="s">
        <v>350</v>
      </c>
      <c r="AS18" s="1161"/>
      <c r="AT18" s="1161" t="s">
        <v>344</v>
      </c>
      <c r="AU18" s="1161"/>
      <c r="AV18" s="1211" t="s">
        <v>349</v>
      </c>
      <c r="AW18" s="1211"/>
      <c r="AX18" s="1179" t="s">
        <v>350</v>
      </c>
      <c r="AY18" s="1179"/>
      <c r="AZ18" s="1179" t="s">
        <v>344</v>
      </c>
      <c r="BA18" s="1195"/>
      <c r="BB18" s="425"/>
      <c r="BC18" s="425"/>
      <c r="BD18" s="1164"/>
      <c r="BE18" s="1164"/>
      <c r="BF18" s="1196"/>
      <c r="BG18" s="1194"/>
      <c r="BH18" s="1164"/>
      <c r="BI18" s="1164"/>
    </row>
    <row r="19" spans="1:71" s="208" customFormat="1" ht="9.75" customHeight="1">
      <c r="A19" s="221"/>
      <c r="B19" s="376"/>
      <c r="C19" s="376"/>
      <c r="D19" s="376"/>
      <c r="E19" s="377"/>
      <c r="F19" s="376"/>
      <c r="G19" s="376"/>
      <c r="H19" s="376"/>
      <c r="I19" s="376"/>
      <c r="J19" s="376"/>
      <c r="K19" s="376"/>
      <c r="L19" s="376"/>
      <c r="M19" s="378"/>
      <c r="N19" s="1173"/>
      <c r="O19" s="377"/>
      <c r="P19" s="372"/>
      <c r="Q19" s="372"/>
      <c r="R19" s="363"/>
      <c r="S19" s="1161"/>
      <c r="T19" s="371">
        <v>0</v>
      </c>
      <c r="U19" s="1161"/>
      <c r="V19" s="1161"/>
      <c r="W19" s="1189"/>
      <c r="X19" s="368"/>
      <c r="Y19" s="368"/>
      <c r="Z19" s="368"/>
      <c r="AA19" s="368"/>
      <c r="AB19" s="368">
        <v>15</v>
      </c>
      <c r="AC19" s="368">
        <v>30</v>
      </c>
      <c r="AD19" s="379">
        <v>0.5</v>
      </c>
      <c r="AE19" s="380">
        <v>1</v>
      </c>
      <c r="AF19" s="380">
        <v>0.5</v>
      </c>
      <c r="AG19" s="380">
        <v>1</v>
      </c>
      <c r="AH19" s="380">
        <v>0.5</v>
      </c>
      <c r="AI19" s="380">
        <v>1</v>
      </c>
      <c r="AJ19" s="380">
        <v>0.5</v>
      </c>
      <c r="AK19" s="380">
        <v>1</v>
      </c>
      <c r="AL19" s="380">
        <v>0.5</v>
      </c>
      <c r="AM19" s="380">
        <v>1</v>
      </c>
      <c r="AN19" s="380">
        <v>0.5</v>
      </c>
      <c r="AO19" s="380">
        <v>1</v>
      </c>
      <c r="AP19" s="330" t="s">
        <v>351</v>
      </c>
      <c r="AQ19" s="330" t="s">
        <v>352</v>
      </c>
      <c r="AR19" s="330" t="s">
        <v>351</v>
      </c>
      <c r="AS19" s="330" t="s">
        <v>352</v>
      </c>
      <c r="AT19" s="330" t="s">
        <v>351</v>
      </c>
      <c r="AU19" s="330" t="s">
        <v>352</v>
      </c>
      <c r="AV19" s="222">
        <v>0.5</v>
      </c>
      <c r="AW19" s="222">
        <v>1</v>
      </c>
      <c r="AX19" s="222">
        <v>0.5</v>
      </c>
      <c r="AY19" s="222">
        <v>1</v>
      </c>
      <c r="AZ19" s="222">
        <v>0.5</v>
      </c>
      <c r="BA19" s="223">
        <v>1</v>
      </c>
      <c r="BB19" s="426"/>
      <c r="BC19" s="426"/>
      <c r="BD19" s="1165"/>
      <c r="BE19" s="1165"/>
      <c r="BF19" s="1179"/>
      <c r="BG19" s="224" t="s">
        <v>352</v>
      </c>
      <c r="BH19" s="1165"/>
      <c r="BI19" s="1165"/>
    </row>
    <row r="20" spans="1:71" ht="11.25" customHeight="1">
      <c r="A20" s="213">
        <v>1</v>
      </c>
      <c r="B20" s="330" t="s">
        <v>101</v>
      </c>
      <c r="C20" s="330" t="s">
        <v>469</v>
      </c>
      <c r="D20" s="330" t="s">
        <v>403</v>
      </c>
      <c r="E20" s="539">
        <v>77160</v>
      </c>
      <c r="F20" s="330" t="s">
        <v>293</v>
      </c>
      <c r="G20" s="381" t="s">
        <v>374</v>
      </c>
      <c r="H20" s="376">
        <v>9</v>
      </c>
      <c r="I20" s="540">
        <f t="shared" ref="I20:I50" si="1">(P20/18)+(Q20+R20)/18</f>
        <v>0.33333333333333331</v>
      </c>
      <c r="J20" s="330">
        <v>17697</v>
      </c>
      <c r="K20" s="330">
        <v>48313</v>
      </c>
      <c r="L20" s="330">
        <v>18</v>
      </c>
      <c r="M20" s="330">
        <v>18</v>
      </c>
      <c r="N20" s="380">
        <v>0.5</v>
      </c>
      <c r="O20" s="330"/>
      <c r="P20" s="330"/>
      <c r="Q20" s="330">
        <v>6</v>
      </c>
      <c r="R20" s="383"/>
      <c r="S20" s="383">
        <f>K20/L20*P20</f>
        <v>0</v>
      </c>
      <c r="T20" s="383"/>
      <c r="U20" s="383">
        <f>K20/L20*Q20</f>
        <v>16104.333333333334</v>
      </c>
      <c r="V20" s="383">
        <f>K20/L20*R20</f>
        <v>0</v>
      </c>
      <c r="W20" s="383">
        <f t="shared" ref="W20:W50" si="2">(S20+U20+V20)*25%</f>
        <v>4026.0833333333335</v>
      </c>
      <c r="X20" s="380">
        <v>0.1</v>
      </c>
      <c r="Y20" s="380">
        <v>0.2</v>
      </c>
      <c r="Z20" s="541">
        <v>0.125</v>
      </c>
      <c r="AA20" s="380">
        <v>0.25</v>
      </c>
      <c r="AB20" s="380">
        <v>0.15</v>
      </c>
      <c r="AC20" s="380">
        <v>0.3</v>
      </c>
      <c r="AD20" s="330"/>
      <c r="AE20" s="383"/>
      <c r="AF20" s="330">
        <v>6</v>
      </c>
      <c r="AG20" s="330"/>
      <c r="AH20" s="330"/>
      <c r="AI20" s="383"/>
      <c r="AJ20" s="383"/>
      <c r="AK20" s="330"/>
      <c r="AL20" s="383">
        <f>J20*Z20/L20*AF20</f>
        <v>737.375</v>
      </c>
      <c r="AM20" s="383">
        <f>J20*AA20/L20*AG20</f>
        <v>0</v>
      </c>
      <c r="AN20" s="383">
        <f>J20*Z20/L20*AH20</f>
        <v>0</v>
      </c>
      <c r="AO20" s="383">
        <f>J20*Y20/L20*AI20</f>
        <v>0</v>
      </c>
      <c r="AP20" s="383"/>
      <c r="AQ20" s="383">
        <f t="shared" ref="AQ20:AQ49" si="3">J20*AA20/M20*AP20</f>
        <v>0</v>
      </c>
      <c r="AR20" s="330">
        <v>6</v>
      </c>
      <c r="AS20" s="383">
        <f t="shared" ref="AS20:AS31" si="4">J20*AA20/L20*AR20</f>
        <v>1474.75</v>
      </c>
      <c r="AT20" s="383"/>
      <c r="AU20" s="383">
        <f t="shared" ref="AU20:AU50" si="5">J20*AA20/L20*AT20</f>
        <v>0</v>
      </c>
      <c r="AV20" s="330"/>
      <c r="AW20" s="330"/>
      <c r="AX20" s="383"/>
      <c r="AY20" s="330"/>
      <c r="AZ20" s="330"/>
      <c r="BA20" s="330"/>
      <c r="BB20" s="383">
        <f>17697*15%/18*6</f>
        <v>884.84999999999991</v>
      </c>
      <c r="BC20" s="383">
        <f>BD20-BB20</f>
        <v>2064.65</v>
      </c>
      <c r="BD20" s="383">
        <f>(J20*N20)/L20*(P20+Q20+R20)</f>
        <v>2949.5</v>
      </c>
      <c r="BE20" s="531"/>
      <c r="BF20" s="329"/>
      <c r="BG20" s="330"/>
      <c r="BH20" s="383">
        <f t="shared" ref="BH20:BH50" si="6">S20+U20+++V20+W20+AJ20+AK20+AL20+AM20+AN20+AO20+AQ20+AS20+AU20+AV20+AW20+AX20+AY20+AZ20+BA20+BE20+BF20+BG20+BD20</f>
        <v>25292.041666666668</v>
      </c>
      <c r="BI20" s="383">
        <f>V20+W20+AJ20+AK20+AL20+AM20+AN20+AO20+AQ20+AS20+AU20+AV20+AW20+AX20+AY20+AZ20+BA20+BF20+BG20+BC20+BE20+U20+S20</f>
        <v>24407.191666666666</v>
      </c>
      <c r="BJ20" s="403">
        <f>BH20-BI20</f>
        <v>884.85000000000218</v>
      </c>
      <c r="BK20" s="542"/>
      <c r="BL20" s="217"/>
      <c r="BM20" s="217"/>
      <c r="BN20" s="217"/>
      <c r="BO20" s="217"/>
      <c r="BP20" s="217"/>
      <c r="BQ20" s="217"/>
      <c r="BR20" s="217"/>
      <c r="BS20" s="217"/>
    </row>
    <row r="21" spans="1:71" ht="11.25" customHeight="1">
      <c r="A21" s="213">
        <v>2</v>
      </c>
      <c r="B21" s="330" t="s">
        <v>70</v>
      </c>
      <c r="C21" s="330" t="s">
        <v>382</v>
      </c>
      <c r="D21" s="330" t="s">
        <v>403</v>
      </c>
      <c r="E21" s="539"/>
      <c r="F21" s="330" t="s">
        <v>441</v>
      </c>
      <c r="G21" s="543" t="s">
        <v>300</v>
      </c>
      <c r="H21" s="376">
        <v>9</v>
      </c>
      <c r="I21" s="540">
        <f t="shared" si="1"/>
        <v>0.55555555555555558</v>
      </c>
      <c r="J21" s="330">
        <v>17697</v>
      </c>
      <c r="K21" s="330">
        <v>49198</v>
      </c>
      <c r="L21" s="330">
        <v>18</v>
      </c>
      <c r="M21" s="330">
        <v>18</v>
      </c>
      <c r="N21" s="380">
        <v>0.3</v>
      </c>
      <c r="O21" s="330"/>
      <c r="P21" s="330">
        <v>2</v>
      </c>
      <c r="Q21" s="330">
        <v>6</v>
      </c>
      <c r="R21" s="383">
        <v>2</v>
      </c>
      <c r="S21" s="383">
        <f t="shared" ref="S21:S50" si="7">K21/L21*P21</f>
        <v>5466.4444444444443</v>
      </c>
      <c r="T21" s="383"/>
      <c r="U21" s="383">
        <f t="shared" ref="U21:U50" si="8">K21/L21*Q21</f>
        <v>16399.333333333332</v>
      </c>
      <c r="V21" s="383">
        <f t="shared" ref="V21:V50" si="9">K21/L21*R21</f>
        <v>5466.4444444444443</v>
      </c>
      <c r="W21" s="383">
        <f t="shared" si="2"/>
        <v>6833.0555555555557</v>
      </c>
      <c r="X21" s="380">
        <v>0.1</v>
      </c>
      <c r="Y21" s="380">
        <v>0.2</v>
      </c>
      <c r="Z21" s="541">
        <v>0.125</v>
      </c>
      <c r="AA21" s="380">
        <v>0.25</v>
      </c>
      <c r="AB21" s="380">
        <v>0.15</v>
      </c>
      <c r="AC21" s="380">
        <v>0.3</v>
      </c>
      <c r="AD21" s="330"/>
      <c r="AE21" s="383"/>
      <c r="AF21" s="330"/>
      <c r="AG21" s="330"/>
      <c r="AH21" s="330"/>
      <c r="AI21" s="383"/>
      <c r="AJ21" s="383"/>
      <c r="AK21" s="330"/>
      <c r="AL21" s="383"/>
      <c r="AM21" s="383"/>
      <c r="AN21" s="383"/>
      <c r="AO21" s="383"/>
      <c r="AP21" s="383"/>
      <c r="AQ21" s="383">
        <f t="shared" si="3"/>
        <v>0</v>
      </c>
      <c r="AR21" s="330"/>
      <c r="AS21" s="383">
        <f t="shared" si="4"/>
        <v>0</v>
      </c>
      <c r="AT21" s="383"/>
      <c r="AU21" s="383">
        <f t="shared" si="5"/>
        <v>0</v>
      </c>
      <c r="AV21" s="330"/>
      <c r="AW21" s="330"/>
      <c r="AX21" s="383"/>
      <c r="AY21" s="330"/>
      <c r="AZ21" s="330"/>
      <c r="BA21" s="330"/>
      <c r="BB21" s="383">
        <f>17697*10%/18*10</f>
        <v>983.16666666666663</v>
      </c>
      <c r="BC21" s="383">
        <f t="shared" ref="BC21:BC50" si="10">BD21-BB21</f>
        <v>1966.3333333333335</v>
      </c>
      <c r="BD21" s="383">
        <f t="shared" ref="BD21:BD50" si="11">(J21*N21)/L21*(P21+Q21+R21)</f>
        <v>2949.5</v>
      </c>
      <c r="BE21" s="531">
        <v>3539</v>
      </c>
      <c r="BF21" s="329"/>
      <c r="BG21" s="330"/>
      <c r="BH21" s="383">
        <f t="shared" si="6"/>
        <v>40653.777777777781</v>
      </c>
      <c r="BI21" s="383">
        <f t="shared" ref="BI21:BI50" si="12">V21+W21+AJ21+AK21+AL21+AM21+AN21+AO21+AQ21+AS21+AU21+AV21+AW21+AX21+AY21+AZ21+BA21+BF21+BG21+BC21+BE21+U21+S21</f>
        <v>39670.611111111117</v>
      </c>
      <c r="BJ21" s="403">
        <f t="shared" ref="BJ21:BJ50" si="13">BH21-BI21</f>
        <v>983.16666666666424</v>
      </c>
      <c r="BK21" s="542"/>
      <c r="BL21" s="217"/>
      <c r="BM21" s="217"/>
      <c r="BN21" s="217"/>
      <c r="BO21" s="217"/>
      <c r="BP21" s="217"/>
      <c r="BQ21" s="217"/>
      <c r="BR21" s="217"/>
      <c r="BS21" s="217"/>
    </row>
    <row r="22" spans="1:71" ht="11.25" customHeight="1">
      <c r="A22" s="213"/>
      <c r="B22" s="330" t="s">
        <v>70</v>
      </c>
      <c r="C22" s="330" t="s">
        <v>131</v>
      </c>
      <c r="D22" s="330" t="s">
        <v>403</v>
      </c>
      <c r="E22" s="539"/>
      <c r="F22" s="330" t="s">
        <v>441</v>
      </c>
      <c r="G22" s="543"/>
      <c r="H22" s="376">
        <v>9</v>
      </c>
      <c r="I22" s="540">
        <f>(P22/18)+(Q22+R22)/18</f>
        <v>0.22222222222222221</v>
      </c>
      <c r="J22" s="330">
        <v>17697</v>
      </c>
      <c r="K22" s="330">
        <v>49198</v>
      </c>
      <c r="L22" s="330">
        <v>18</v>
      </c>
      <c r="M22" s="330">
        <v>18</v>
      </c>
      <c r="N22" s="380"/>
      <c r="O22" s="330"/>
      <c r="P22" s="330"/>
      <c r="Q22" s="330">
        <v>4</v>
      </c>
      <c r="R22" s="383"/>
      <c r="S22" s="383">
        <f t="shared" si="7"/>
        <v>0</v>
      </c>
      <c r="T22" s="383"/>
      <c r="U22" s="383">
        <f t="shared" si="8"/>
        <v>10932.888888888889</v>
      </c>
      <c r="V22" s="383">
        <f t="shared" si="9"/>
        <v>0</v>
      </c>
      <c r="W22" s="383">
        <f>(S22+U22+V22)*25%</f>
        <v>2733.2222222222222</v>
      </c>
      <c r="X22" s="380">
        <v>0.1</v>
      </c>
      <c r="Y22" s="380">
        <v>0.2</v>
      </c>
      <c r="Z22" s="541">
        <v>0.125</v>
      </c>
      <c r="AA22" s="380">
        <v>0.25</v>
      </c>
      <c r="AB22" s="380">
        <v>0.15</v>
      </c>
      <c r="AC22" s="380">
        <v>0.3</v>
      </c>
      <c r="AD22" s="330"/>
      <c r="AE22" s="383"/>
      <c r="AF22" s="330"/>
      <c r="AG22" s="330"/>
      <c r="AH22" s="330"/>
      <c r="AI22" s="383"/>
      <c r="AJ22" s="383"/>
      <c r="AK22" s="330"/>
      <c r="AL22" s="383"/>
      <c r="AM22" s="383"/>
      <c r="AN22" s="383"/>
      <c r="AO22" s="383"/>
      <c r="AP22" s="383"/>
      <c r="AQ22" s="383">
        <f>J22*AA22/M22*AP22</f>
        <v>0</v>
      </c>
      <c r="AR22" s="330"/>
      <c r="AS22" s="383">
        <f>J22*AA22/L22*AR22</f>
        <v>0</v>
      </c>
      <c r="AT22" s="383"/>
      <c r="AU22" s="383">
        <f>J22*AA22/L22*AT22</f>
        <v>0</v>
      </c>
      <c r="AV22" s="330"/>
      <c r="AW22" s="330"/>
      <c r="AX22" s="383"/>
      <c r="AY22" s="330"/>
      <c r="AZ22" s="330"/>
      <c r="BA22" s="330"/>
      <c r="BB22" s="383"/>
      <c r="BC22" s="383">
        <f t="shared" si="10"/>
        <v>0</v>
      </c>
      <c r="BD22" s="383">
        <f t="shared" si="11"/>
        <v>0</v>
      </c>
      <c r="BE22" s="531"/>
      <c r="BF22" s="329"/>
      <c r="BG22" s="330"/>
      <c r="BH22" s="383">
        <f t="shared" si="6"/>
        <v>13666.111111111111</v>
      </c>
      <c r="BI22" s="383">
        <f t="shared" si="12"/>
        <v>13666.111111111111</v>
      </c>
      <c r="BJ22" s="403">
        <f t="shared" si="13"/>
        <v>0</v>
      </c>
      <c r="BK22" s="542"/>
      <c r="BL22" s="217"/>
      <c r="BM22" s="217"/>
      <c r="BN22" s="217"/>
      <c r="BO22" s="217"/>
      <c r="BP22" s="217"/>
      <c r="BQ22" s="217"/>
      <c r="BR22" s="217"/>
      <c r="BS22" s="217"/>
    </row>
    <row r="23" spans="1:71" ht="11.25" customHeight="1">
      <c r="A23" s="213">
        <v>3</v>
      </c>
      <c r="B23" s="330" t="s">
        <v>80</v>
      </c>
      <c r="C23" s="330" t="s">
        <v>353</v>
      </c>
      <c r="D23" s="330" t="s">
        <v>403</v>
      </c>
      <c r="E23" s="539"/>
      <c r="F23" s="330" t="s">
        <v>132</v>
      </c>
      <c r="G23" s="543" t="s">
        <v>300</v>
      </c>
      <c r="H23" s="376">
        <v>9</v>
      </c>
      <c r="I23" s="540">
        <f t="shared" si="1"/>
        <v>0.91666666666666663</v>
      </c>
      <c r="J23" s="330">
        <v>17697</v>
      </c>
      <c r="K23" s="330">
        <v>44773</v>
      </c>
      <c r="L23" s="330">
        <v>18</v>
      </c>
      <c r="M23" s="330">
        <v>18</v>
      </c>
      <c r="N23" s="380">
        <v>0.3</v>
      </c>
      <c r="O23" s="330"/>
      <c r="P23" s="330"/>
      <c r="Q23" s="382">
        <v>12.5</v>
      </c>
      <c r="R23" s="383">
        <v>4</v>
      </c>
      <c r="S23" s="383">
        <f t="shared" si="7"/>
        <v>0</v>
      </c>
      <c r="T23" s="383"/>
      <c r="U23" s="383">
        <f t="shared" si="8"/>
        <v>31092.361111111109</v>
      </c>
      <c r="V23" s="383">
        <f t="shared" si="9"/>
        <v>9949.5555555555547</v>
      </c>
      <c r="W23" s="383">
        <f t="shared" si="2"/>
        <v>10260.479166666666</v>
      </c>
      <c r="X23" s="380">
        <v>0.1</v>
      </c>
      <c r="Y23" s="380">
        <v>0.2</v>
      </c>
      <c r="Z23" s="541">
        <v>0.125</v>
      </c>
      <c r="AA23" s="380">
        <v>0.25</v>
      </c>
      <c r="AB23" s="380">
        <v>0.15</v>
      </c>
      <c r="AC23" s="380">
        <v>0.3</v>
      </c>
      <c r="AD23" s="330"/>
      <c r="AE23" s="383"/>
      <c r="AF23" s="330">
        <v>11.5</v>
      </c>
      <c r="AG23" s="330"/>
      <c r="AH23" s="330">
        <v>2</v>
      </c>
      <c r="AI23" s="383"/>
      <c r="AJ23" s="383"/>
      <c r="AK23" s="330"/>
      <c r="AL23" s="544">
        <f>J23*X23/L23*AF23</f>
        <v>1130.6416666666667</v>
      </c>
      <c r="AM23" s="544">
        <f>J23*Y23/L23*AG23</f>
        <v>0</v>
      </c>
      <c r="AN23" s="544">
        <f>J23*X23/L23*AH23</f>
        <v>196.63333333333333</v>
      </c>
      <c r="AO23" s="383">
        <f>J23*Y23/L24*AI23</f>
        <v>0</v>
      </c>
      <c r="AP23" s="383"/>
      <c r="AQ23" s="383">
        <f t="shared" si="3"/>
        <v>0</v>
      </c>
      <c r="AR23" s="330"/>
      <c r="AS23" s="383">
        <f t="shared" si="4"/>
        <v>0</v>
      </c>
      <c r="AT23" s="383"/>
      <c r="AU23" s="383">
        <f t="shared" si="5"/>
        <v>0</v>
      </c>
      <c r="AV23" s="330"/>
      <c r="AW23" s="330"/>
      <c r="AX23" s="383"/>
      <c r="AY23" s="330"/>
      <c r="AZ23" s="330">
        <v>2655</v>
      </c>
      <c r="BA23" s="330"/>
      <c r="BB23" s="383">
        <f>17697*10%/18*16.5</f>
        <v>1622.2249999999999</v>
      </c>
      <c r="BC23" s="383">
        <f t="shared" si="10"/>
        <v>3244.4500000000003</v>
      </c>
      <c r="BD23" s="383">
        <f t="shared" si="11"/>
        <v>4866.6750000000002</v>
      </c>
      <c r="BE23" s="531"/>
      <c r="BF23" s="329">
        <v>3539</v>
      </c>
      <c r="BG23" s="330"/>
      <c r="BH23" s="383">
        <f t="shared" si="6"/>
        <v>63690.345833333333</v>
      </c>
      <c r="BI23" s="383">
        <f t="shared" si="12"/>
        <v>62068.120833333334</v>
      </c>
      <c r="BJ23" s="403">
        <f t="shared" si="13"/>
        <v>1622.2249999999985</v>
      </c>
      <c r="BK23" s="542"/>
      <c r="BL23" s="217"/>
      <c r="BM23" s="217"/>
      <c r="BN23" s="217"/>
      <c r="BO23" s="217"/>
      <c r="BP23" s="217"/>
      <c r="BQ23" s="217"/>
      <c r="BR23" s="217"/>
      <c r="BS23" s="217"/>
    </row>
    <row r="24" spans="1:71" ht="11.25" customHeight="1">
      <c r="A24" s="213"/>
      <c r="B24" s="330" t="s">
        <v>80</v>
      </c>
      <c r="C24" s="330" t="s">
        <v>356</v>
      </c>
      <c r="D24" s="330" t="s">
        <v>403</v>
      </c>
      <c r="E24" s="384" t="s">
        <v>69</v>
      </c>
      <c r="F24" s="330" t="s">
        <v>132</v>
      </c>
      <c r="G24" s="543"/>
      <c r="H24" s="376">
        <v>9</v>
      </c>
      <c r="I24" s="540">
        <f t="shared" si="1"/>
        <v>0.22222222222222221</v>
      </c>
      <c r="J24" s="330">
        <v>17697</v>
      </c>
      <c r="K24" s="330">
        <v>44773</v>
      </c>
      <c r="L24" s="330">
        <v>18</v>
      </c>
      <c r="M24" s="330">
        <v>18</v>
      </c>
      <c r="N24" s="380"/>
      <c r="O24" s="330"/>
      <c r="P24" s="330"/>
      <c r="Q24" s="330">
        <v>3</v>
      </c>
      <c r="R24" s="531">
        <v>1</v>
      </c>
      <c r="S24" s="383">
        <f t="shared" si="7"/>
        <v>0</v>
      </c>
      <c r="T24" s="383"/>
      <c r="U24" s="383">
        <f t="shared" si="8"/>
        <v>7462.1666666666661</v>
      </c>
      <c r="V24" s="383">
        <f t="shared" si="9"/>
        <v>2487.3888888888887</v>
      </c>
      <c r="W24" s="383">
        <f t="shared" si="2"/>
        <v>2487.3888888888887</v>
      </c>
      <c r="X24" s="380">
        <v>0.1</v>
      </c>
      <c r="Y24" s="380">
        <v>0.2</v>
      </c>
      <c r="Z24" s="541">
        <v>0.125</v>
      </c>
      <c r="AA24" s="380">
        <v>0.25</v>
      </c>
      <c r="AB24" s="380">
        <v>0.15</v>
      </c>
      <c r="AC24" s="380">
        <v>0.3</v>
      </c>
      <c r="AD24" s="330"/>
      <c r="AE24" s="383"/>
      <c r="AF24" s="330">
        <v>2</v>
      </c>
      <c r="AG24" s="330"/>
      <c r="AH24" s="330">
        <v>1</v>
      </c>
      <c r="AI24" s="383"/>
      <c r="AJ24" s="383"/>
      <c r="AK24" s="330"/>
      <c r="AL24" s="544">
        <f>J24*X24/L24*AF24</f>
        <v>196.63333333333333</v>
      </c>
      <c r="AM24" s="544">
        <f>J24*Y24/L24*AG24</f>
        <v>0</v>
      </c>
      <c r="AN24" s="544">
        <f>J24*X24/L24*AH24</f>
        <v>98.316666666666663</v>
      </c>
      <c r="AO24" s="383">
        <f>J24*Y24/L25*AI24</f>
        <v>0</v>
      </c>
      <c r="AP24" s="383"/>
      <c r="AQ24" s="383">
        <f t="shared" si="3"/>
        <v>0</v>
      </c>
      <c r="AR24" s="383"/>
      <c r="AS24" s="383">
        <f t="shared" si="4"/>
        <v>0</v>
      </c>
      <c r="AT24" s="383"/>
      <c r="AU24" s="383">
        <f t="shared" si="5"/>
        <v>0</v>
      </c>
      <c r="AV24" s="330"/>
      <c r="AW24" s="330"/>
      <c r="AX24" s="383"/>
      <c r="AY24" s="330"/>
      <c r="AZ24" s="383"/>
      <c r="BA24" s="330"/>
      <c r="BB24" s="383"/>
      <c r="BC24" s="383">
        <f t="shared" si="10"/>
        <v>0</v>
      </c>
      <c r="BD24" s="383">
        <f t="shared" si="11"/>
        <v>0</v>
      </c>
      <c r="BE24" s="531"/>
      <c r="BF24" s="329"/>
      <c r="BG24" s="383"/>
      <c r="BH24" s="383">
        <f t="shared" si="6"/>
        <v>12731.894444444444</v>
      </c>
      <c r="BI24" s="383">
        <f t="shared" si="12"/>
        <v>12731.894444444442</v>
      </c>
      <c r="BJ24" s="403">
        <f t="shared" si="13"/>
        <v>0</v>
      </c>
      <c r="BK24" s="217"/>
      <c r="BL24" s="217"/>
      <c r="BM24" s="217"/>
      <c r="BN24" s="217"/>
      <c r="BO24" s="217"/>
      <c r="BP24" s="217"/>
      <c r="BQ24" s="217"/>
      <c r="BR24" s="217"/>
      <c r="BS24" s="217"/>
    </row>
    <row r="25" spans="1:71" ht="11.25" customHeight="1">
      <c r="A25" s="213">
        <v>4</v>
      </c>
      <c r="B25" s="330" t="s">
        <v>74</v>
      </c>
      <c r="C25" s="330">
        <v>1.3</v>
      </c>
      <c r="D25" s="330" t="s">
        <v>291</v>
      </c>
      <c r="E25" s="384" t="s">
        <v>71</v>
      </c>
      <c r="F25" s="330" t="s">
        <v>133</v>
      </c>
      <c r="G25" s="543" t="s">
        <v>374</v>
      </c>
      <c r="H25" s="376">
        <v>11</v>
      </c>
      <c r="I25" s="540">
        <f t="shared" si="1"/>
        <v>1.2222222222222223</v>
      </c>
      <c r="J25" s="330">
        <v>17697</v>
      </c>
      <c r="K25" s="330">
        <v>42827</v>
      </c>
      <c r="L25" s="330">
        <v>18</v>
      </c>
      <c r="M25" s="330">
        <v>18</v>
      </c>
      <c r="N25" s="380">
        <v>0.45</v>
      </c>
      <c r="O25" s="330"/>
      <c r="P25" s="330">
        <v>22</v>
      </c>
      <c r="Q25" s="330"/>
      <c r="R25" s="531"/>
      <c r="S25" s="383">
        <f t="shared" si="7"/>
        <v>52344.111111111109</v>
      </c>
      <c r="T25" s="383"/>
      <c r="U25" s="383">
        <f t="shared" si="8"/>
        <v>0</v>
      </c>
      <c r="V25" s="383">
        <f t="shared" si="9"/>
        <v>0</v>
      </c>
      <c r="W25" s="383">
        <f>(S25+U25+V25)*25%</f>
        <v>13086.027777777777</v>
      </c>
      <c r="X25" s="380">
        <v>0.1</v>
      </c>
      <c r="Y25" s="380">
        <v>0.2</v>
      </c>
      <c r="Z25" s="541">
        <v>0.125</v>
      </c>
      <c r="AA25" s="380">
        <v>0.25</v>
      </c>
      <c r="AB25" s="380">
        <v>0.15</v>
      </c>
      <c r="AC25" s="380">
        <v>0.3</v>
      </c>
      <c r="AD25" s="330">
        <v>16</v>
      </c>
      <c r="AE25" s="383"/>
      <c r="AF25" s="330"/>
      <c r="AG25" s="330"/>
      <c r="AH25" s="330"/>
      <c r="AI25" s="383"/>
      <c r="AJ25" s="383">
        <f>17697*10%/18*AD25</f>
        <v>1573.0666666666666</v>
      </c>
      <c r="AK25" s="330"/>
      <c r="AL25" s="383"/>
      <c r="AM25" s="383"/>
      <c r="AN25" s="383"/>
      <c r="AO25" s="383"/>
      <c r="AP25" s="383"/>
      <c r="AQ25" s="383">
        <f t="shared" si="3"/>
        <v>0</v>
      </c>
      <c r="AR25" s="383"/>
      <c r="AS25" s="383">
        <f t="shared" si="4"/>
        <v>0</v>
      </c>
      <c r="AT25" s="383"/>
      <c r="AU25" s="383">
        <f t="shared" si="5"/>
        <v>0</v>
      </c>
      <c r="AV25" s="330">
        <v>2212</v>
      </c>
      <c r="AW25" s="330"/>
      <c r="AX25" s="383"/>
      <c r="AY25" s="330"/>
      <c r="AZ25" s="383"/>
      <c r="BA25" s="330"/>
      <c r="BB25" s="383">
        <f>17697*15%/18*22</f>
        <v>3244.45</v>
      </c>
      <c r="BC25" s="383">
        <f t="shared" si="10"/>
        <v>6488.9000000000005</v>
      </c>
      <c r="BD25" s="383">
        <f t="shared" si="11"/>
        <v>9733.35</v>
      </c>
      <c r="BE25" s="531"/>
      <c r="BF25" s="329"/>
      <c r="BG25" s="383"/>
      <c r="BH25" s="383">
        <f t="shared" si="6"/>
        <v>78948.555555555562</v>
      </c>
      <c r="BI25" s="383">
        <f t="shared" si="12"/>
        <v>75704.10555555555</v>
      </c>
      <c r="BJ25" s="403">
        <f t="shared" si="13"/>
        <v>3244.4500000000116</v>
      </c>
      <c r="BK25" s="217"/>
      <c r="BL25" s="217"/>
      <c r="BM25" s="217"/>
      <c r="BN25" s="217"/>
      <c r="BO25" s="217"/>
      <c r="BP25" s="217"/>
      <c r="BQ25" s="217"/>
      <c r="BR25" s="217"/>
      <c r="BS25" s="217"/>
    </row>
    <row r="26" spans="1:71" ht="11.25" customHeight="1">
      <c r="A26" s="213">
        <v>5</v>
      </c>
      <c r="B26" s="330" t="s">
        <v>97</v>
      </c>
      <c r="C26" s="381" t="s">
        <v>450</v>
      </c>
      <c r="D26" s="330" t="s">
        <v>403</v>
      </c>
      <c r="E26" s="384" t="s">
        <v>72</v>
      </c>
      <c r="F26" s="330" t="s">
        <v>134</v>
      </c>
      <c r="G26" s="543" t="s">
        <v>374</v>
      </c>
      <c r="H26" s="376">
        <v>9</v>
      </c>
      <c r="I26" s="540">
        <f t="shared" si="1"/>
        <v>0.66666666666666663</v>
      </c>
      <c r="J26" s="330">
        <v>17697</v>
      </c>
      <c r="K26" s="330">
        <v>49198</v>
      </c>
      <c r="L26" s="330">
        <v>18</v>
      </c>
      <c r="M26" s="330">
        <v>18</v>
      </c>
      <c r="N26" s="380">
        <v>0.5</v>
      </c>
      <c r="O26" s="330"/>
      <c r="P26" s="330"/>
      <c r="Q26" s="330">
        <v>10</v>
      </c>
      <c r="R26" s="383">
        <v>2</v>
      </c>
      <c r="S26" s="383">
        <f t="shared" si="7"/>
        <v>0</v>
      </c>
      <c r="T26" s="383"/>
      <c r="U26" s="383">
        <f t="shared" si="8"/>
        <v>27332.222222222223</v>
      </c>
      <c r="V26" s="383">
        <f t="shared" si="9"/>
        <v>5466.4444444444443</v>
      </c>
      <c r="W26" s="383">
        <f t="shared" si="2"/>
        <v>8199.6666666666661</v>
      </c>
      <c r="X26" s="380">
        <v>0.1</v>
      </c>
      <c r="Y26" s="380">
        <v>0.2</v>
      </c>
      <c r="Z26" s="541">
        <v>0.125</v>
      </c>
      <c r="AA26" s="380">
        <v>0.25</v>
      </c>
      <c r="AB26" s="380">
        <v>0.15</v>
      </c>
      <c r="AC26" s="380">
        <v>0.3</v>
      </c>
      <c r="AD26" s="330"/>
      <c r="AE26" s="383"/>
      <c r="AF26" s="330"/>
      <c r="AG26" s="330"/>
      <c r="AH26" s="330"/>
      <c r="AI26" s="382"/>
      <c r="AJ26" s="383"/>
      <c r="AK26" s="531"/>
      <c r="AL26" s="383"/>
      <c r="AM26" s="383"/>
      <c r="AN26" s="383"/>
      <c r="AO26" s="383"/>
      <c r="AP26" s="383"/>
      <c r="AQ26" s="383">
        <f t="shared" si="3"/>
        <v>0</v>
      </c>
      <c r="AR26" s="383"/>
      <c r="AS26" s="383">
        <f t="shared" si="4"/>
        <v>0</v>
      </c>
      <c r="AT26" s="383"/>
      <c r="AU26" s="383">
        <f t="shared" si="5"/>
        <v>0</v>
      </c>
      <c r="AV26" s="531"/>
      <c r="AW26" s="531"/>
      <c r="AX26" s="383">
        <v>2655</v>
      </c>
      <c r="AY26" s="330"/>
      <c r="AZ26" s="383"/>
      <c r="BA26" s="330"/>
      <c r="BB26" s="383">
        <f>17697*15%/18*12</f>
        <v>1769.6999999999998</v>
      </c>
      <c r="BC26" s="383">
        <f t="shared" si="10"/>
        <v>4129.3</v>
      </c>
      <c r="BD26" s="383">
        <f t="shared" si="11"/>
        <v>5899</v>
      </c>
      <c r="BE26" s="383"/>
      <c r="BF26" s="376">
        <v>3539</v>
      </c>
      <c r="BG26" s="330"/>
      <c r="BH26" s="383">
        <f t="shared" si="6"/>
        <v>53091.333333333328</v>
      </c>
      <c r="BI26" s="383">
        <f t="shared" si="12"/>
        <v>51321.633333333331</v>
      </c>
      <c r="BJ26" s="403">
        <f t="shared" si="13"/>
        <v>1769.6999999999971</v>
      </c>
      <c r="BK26" s="217"/>
      <c r="BL26" s="217"/>
      <c r="BM26" s="217"/>
      <c r="BN26" s="217"/>
      <c r="BO26" s="217"/>
      <c r="BP26" s="217"/>
      <c r="BQ26" s="217"/>
      <c r="BR26" s="217"/>
      <c r="BS26" s="217"/>
    </row>
    <row r="27" spans="1:71" ht="11.25" customHeight="1">
      <c r="A27" s="213"/>
      <c r="B27" s="330" t="s">
        <v>97</v>
      </c>
      <c r="C27" s="381" t="s">
        <v>135</v>
      </c>
      <c r="D27" s="330" t="s">
        <v>403</v>
      </c>
      <c r="E27" s="384"/>
      <c r="F27" s="330" t="s">
        <v>134</v>
      </c>
      <c r="G27" s="543"/>
      <c r="H27" s="376">
        <v>9</v>
      </c>
      <c r="I27" s="540">
        <f t="shared" si="1"/>
        <v>0.55555555555555558</v>
      </c>
      <c r="J27" s="330">
        <v>17697</v>
      </c>
      <c r="K27" s="330">
        <v>49198</v>
      </c>
      <c r="L27" s="330">
        <v>18</v>
      </c>
      <c r="M27" s="330">
        <v>18</v>
      </c>
      <c r="N27" s="380"/>
      <c r="O27" s="330"/>
      <c r="P27" s="330">
        <v>4</v>
      </c>
      <c r="Q27" s="330"/>
      <c r="R27" s="383">
        <v>6</v>
      </c>
      <c r="S27" s="383">
        <f>K27/L27*P27</f>
        <v>10932.888888888889</v>
      </c>
      <c r="T27" s="383"/>
      <c r="U27" s="383">
        <f>K27/L27*Q27</f>
        <v>0</v>
      </c>
      <c r="V27" s="383">
        <f>K27/L27*R27</f>
        <v>16399.333333333332</v>
      </c>
      <c r="W27" s="383">
        <f>(S27+U27+V27)*25%</f>
        <v>6833.0555555555547</v>
      </c>
      <c r="X27" s="380"/>
      <c r="Y27" s="380"/>
      <c r="Z27" s="541"/>
      <c r="AA27" s="380"/>
      <c r="AB27" s="380"/>
      <c r="AC27" s="380"/>
      <c r="AD27" s="330">
        <v>4</v>
      </c>
      <c r="AE27" s="383"/>
      <c r="AF27" s="330"/>
      <c r="AG27" s="330"/>
      <c r="AH27" s="330"/>
      <c r="AI27" s="382"/>
      <c r="AJ27" s="383">
        <v>492</v>
      </c>
      <c r="AK27" s="531"/>
      <c r="AL27" s="383"/>
      <c r="AM27" s="383"/>
      <c r="AN27" s="383"/>
      <c r="AO27" s="383"/>
      <c r="AP27" s="383">
        <v>4</v>
      </c>
      <c r="AQ27" s="383">
        <v>983</v>
      </c>
      <c r="AR27" s="383"/>
      <c r="AS27" s="383"/>
      <c r="AT27" s="383"/>
      <c r="AU27" s="383"/>
      <c r="AV27" s="531"/>
      <c r="AW27" s="531"/>
      <c r="AX27" s="383"/>
      <c r="AY27" s="330"/>
      <c r="AZ27" s="383"/>
      <c r="BA27" s="330"/>
      <c r="BB27" s="383"/>
      <c r="BC27" s="383"/>
      <c r="BD27" s="383">
        <f t="shared" si="11"/>
        <v>0</v>
      </c>
      <c r="BE27" s="383"/>
      <c r="BF27" s="376"/>
      <c r="BG27" s="330"/>
      <c r="BH27" s="383">
        <f t="shared" si="6"/>
        <v>35640.277777777774</v>
      </c>
      <c r="BI27" s="383">
        <f t="shared" si="12"/>
        <v>35640.277777777774</v>
      </c>
      <c r="BJ27" s="403">
        <f t="shared" si="13"/>
        <v>0</v>
      </c>
      <c r="BK27" s="217"/>
      <c r="BL27" s="217"/>
      <c r="BM27" s="217"/>
      <c r="BN27" s="217"/>
      <c r="BO27" s="217"/>
      <c r="BP27" s="217"/>
      <c r="BQ27" s="217"/>
      <c r="BR27" s="217"/>
      <c r="BS27" s="217"/>
    </row>
    <row r="28" spans="1:71" ht="12.75" customHeight="1">
      <c r="A28" s="213">
        <v>6</v>
      </c>
      <c r="B28" s="330" t="s">
        <v>82</v>
      </c>
      <c r="C28" s="381" t="s">
        <v>376</v>
      </c>
      <c r="D28" s="330" t="s">
        <v>403</v>
      </c>
      <c r="E28" s="384" t="s">
        <v>73</v>
      </c>
      <c r="F28" s="330" t="s">
        <v>136</v>
      </c>
      <c r="G28" s="543" t="s">
        <v>374</v>
      </c>
      <c r="H28" s="376">
        <v>9</v>
      </c>
      <c r="I28" s="540">
        <f t="shared" si="1"/>
        <v>0.55555555555555558</v>
      </c>
      <c r="J28" s="330">
        <v>17697</v>
      </c>
      <c r="K28" s="330">
        <v>50967</v>
      </c>
      <c r="L28" s="330">
        <v>18</v>
      </c>
      <c r="M28" s="330">
        <v>18</v>
      </c>
      <c r="N28" s="380">
        <v>0.5</v>
      </c>
      <c r="O28" s="330"/>
      <c r="P28" s="330"/>
      <c r="Q28" s="330">
        <v>6</v>
      </c>
      <c r="R28" s="383">
        <v>4</v>
      </c>
      <c r="S28" s="383">
        <f t="shared" si="7"/>
        <v>0</v>
      </c>
      <c r="T28" s="383"/>
      <c r="U28" s="383">
        <f t="shared" si="8"/>
        <v>16989</v>
      </c>
      <c r="V28" s="383">
        <f t="shared" si="9"/>
        <v>11326</v>
      </c>
      <c r="W28" s="383">
        <f t="shared" si="2"/>
        <v>7078.75</v>
      </c>
      <c r="X28" s="380">
        <v>0.1</v>
      </c>
      <c r="Y28" s="380">
        <v>0.2</v>
      </c>
      <c r="Z28" s="541">
        <v>0.125</v>
      </c>
      <c r="AA28" s="380">
        <v>0.25</v>
      </c>
      <c r="AB28" s="380">
        <v>0.15</v>
      </c>
      <c r="AC28" s="380">
        <v>0.3</v>
      </c>
      <c r="AD28" s="330"/>
      <c r="AE28" s="383"/>
      <c r="AF28" s="330">
        <v>4</v>
      </c>
      <c r="AG28" s="330"/>
      <c r="AH28" s="330">
        <v>3</v>
      </c>
      <c r="AI28" s="382"/>
      <c r="AJ28" s="383"/>
      <c r="AK28" s="531"/>
      <c r="AL28" s="544">
        <f>J28*X28/L28*AF28</f>
        <v>393.26666666666665</v>
      </c>
      <c r="AM28" s="544">
        <f>J28*Y28/L28*AG28</f>
        <v>0</v>
      </c>
      <c r="AN28" s="544">
        <f>J28*X28/L28*AH28</f>
        <v>294.95</v>
      </c>
      <c r="AO28" s="383">
        <f>J28*Y28/L29*AI28</f>
        <v>0</v>
      </c>
      <c r="AP28" s="383"/>
      <c r="AQ28" s="383">
        <f t="shared" si="3"/>
        <v>0</v>
      </c>
      <c r="AR28" s="383"/>
      <c r="AS28" s="383">
        <f t="shared" si="4"/>
        <v>0</v>
      </c>
      <c r="AT28" s="383"/>
      <c r="AU28" s="383">
        <f t="shared" si="5"/>
        <v>0</v>
      </c>
      <c r="AV28" s="531"/>
      <c r="AW28" s="531"/>
      <c r="AX28" s="383"/>
      <c r="AY28" s="330"/>
      <c r="AZ28" s="383"/>
      <c r="BA28" s="330"/>
      <c r="BB28" s="383">
        <f>17697*15%/18*10</f>
        <v>1474.75</v>
      </c>
      <c r="BC28" s="383">
        <f t="shared" si="10"/>
        <v>3441.083333333333</v>
      </c>
      <c r="BD28" s="383">
        <f t="shared" si="11"/>
        <v>4915.833333333333</v>
      </c>
      <c r="BE28" s="383"/>
      <c r="BF28" s="376"/>
      <c r="BG28" s="330"/>
      <c r="BH28" s="383">
        <f t="shared" si="6"/>
        <v>40997.800000000003</v>
      </c>
      <c r="BI28" s="383">
        <f t="shared" si="12"/>
        <v>39523.050000000003</v>
      </c>
      <c r="BJ28" s="403">
        <f t="shared" si="13"/>
        <v>1474.75</v>
      </c>
      <c r="BK28" s="217"/>
      <c r="BL28" s="217"/>
      <c r="BM28" s="217"/>
      <c r="BN28" s="217"/>
      <c r="BO28" s="217"/>
      <c r="BP28" s="217"/>
      <c r="BQ28" s="217"/>
      <c r="BR28" s="217"/>
      <c r="BS28" s="217"/>
    </row>
    <row r="29" spans="1:71" ht="11.25" customHeight="1">
      <c r="A29" s="213">
        <v>7</v>
      </c>
      <c r="B29" s="330" t="s">
        <v>457</v>
      </c>
      <c r="C29" s="381" t="s">
        <v>376</v>
      </c>
      <c r="D29" s="330" t="s">
        <v>403</v>
      </c>
      <c r="E29" s="384">
        <v>135841</v>
      </c>
      <c r="F29" s="330" t="s">
        <v>294</v>
      </c>
      <c r="G29" s="543" t="s">
        <v>374</v>
      </c>
      <c r="H29" s="376">
        <v>9</v>
      </c>
      <c r="I29" s="540">
        <f t="shared" si="1"/>
        <v>0.27777777777777779</v>
      </c>
      <c r="J29" s="330">
        <v>17697</v>
      </c>
      <c r="K29" s="330">
        <v>49198</v>
      </c>
      <c r="L29" s="330">
        <v>18</v>
      </c>
      <c r="M29" s="330">
        <v>18</v>
      </c>
      <c r="N29" s="380">
        <v>0.5</v>
      </c>
      <c r="O29" s="330"/>
      <c r="P29" s="330"/>
      <c r="Q29" s="330">
        <v>5</v>
      </c>
      <c r="R29" s="383"/>
      <c r="S29" s="383">
        <f t="shared" si="7"/>
        <v>0</v>
      </c>
      <c r="T29" s="383"/>
      <c r="U29" s="383">
        <f t="shared" si="8"/>
        <v>13666.111111111111</v>
      </c>
      <c r="V29" s="383">
        <f t="shared" si="9"/>
        <v>0</v>
      </c>
      <c r="W29" s="383">
        <f t="shared" si="2"/>
        <v>3416.5277777777778</v>
      </c>
      <c r="X29" s="380">
        <v>0.1</v>
      </c>
      <c r="Y29" s="380">
        <v>0.2</v>
      </c>
      <c r="Z29" s="541">
        <v>0.125</v>
      </c>
      <c r="AA29" s="380">
        <v>0.25</v>
      </c>
      <c r="AB29" s="380">
        <v>0.15</v>
      </c>
      <c r="AC29" s="380">
        <v>0.3</v>
      </c>
      <c r="AD29" s="330"/>
      <c r="AE29" s="383"/>
      <c r="AF29" s="330">
        <v>5</v>
      </c>
      <c r="AG29" s="330"/>
      <c r="AH29" s="330"/>
      <c r="AI29" s="382"/>
      <c r="AJ29" s="383"/>
      <c r="AK29" s="531"/>
      <c r="AL29" s="544">
        <f>J29*X29/L29*AF29</f>
        <v>491.58333333333331</v>
      </c>
      <c r="AM29" s="383"/>
      <c r="AN29" s="383"/>
      <c r="AO29" s="383"/>
      <c r="AP29" s="383"/>
      <c r="AQ29" s="383">
        <f t="shared" si="3"/>
        <v>0</v>
      </c>
      <c r="AR29" s="330"/>
      <c r="AS29" s="383">
        <f t="shared" si="4"/>
        <v>0</v>
      </c>
      <c r="AT29" s="383"/>
      <c r="AU29" s="383">
        <f t="shared" si="5"/>
        <v>0</v>
      </c>
      <c r="AV29" s="531"/>
      <c r="AW29" s="531"/>
      <c r="AX29" s="383"/>
      <c r="AY29" s="330"/>
      <c r="AZ29" s="383"/>
      <c r="BA29" s="330"/>
      <c r="BB29" s="383">
        <f>17697*15%/18*5</f>
        <v>737.375</v>
      </c>
      <c r="BC29" s="383">
        <f t="shared" si="10"/>
        <v>1720.5416666666665</v>
      </c>
      <c r="BD29" s="383">
        <f t="shared" si="11"/>
        <v>2457.9166666666665</v>
      </c>
      <c r="BE29" s="531"/>
      <c r="BF29" s="329"/>
      <c r="BG29" s="330"/>
      <c r="BH29" s="383">
        <f t="shared" si="6"/>
        <v>20032.138888888891</v>
      </c>
      <c r="BI29" s="383">
        <f t="shared" si="12"/>
        <v>19294.763888888891</v>
      </c>
      <c r="BJ29" s="403">
        <f t="shared" si="13"/>
        <v>737.375</v>
      </c>
      <c r="BK29" s="217"/>
      <c r="BL29" s="217"/>
      <c r="BM29" s="217"/>
      <c r="BN29" s="217"/>
      <c r="BO29" s="217"/>
      <c r="BP29" s="217"/>
      <c r="BQ29" s="217"/>
      <c r="BR29" s="217"/>
      <c r="BS29" s="217"/>
    </row>
    <row r="30" spans="1:71" ht="11.25" customHeight="1">
      <c r="A30" s="213"/>
      <c r="B30" s="330" t="s">
        <v>457</v>
      </c>
      <c r="C30" s="543" t="s">
        <v>387</v>
      </c>
      <c r="D30" s="330" t="s">
        <v>403</v>
      </c>
      <c r="E30" s="384" t="s">
        <v>75</v>
      </c>
      <c r="F30" s="330" t="s">
        <v>294</v>
      </c>
      <c r="G30" s="543" t="s">
        <v>355</v>
      </c>
      <c r="H30" s="376">
        <v>9</v>
      </c>
      <c r="I30" s="540">
        <f t="shared" si="1"/>
        <v>0.22222222222222221</v>
      </c>
      <c r="J30" s="330">
        <v>17697</v>
      </c>
      <c r="K30" s="383">
        <v>49198</v>
      </c>
      <c r="L30" s="330">
        <v>18</v>
      </c>
      <c r="M30" s="330">
        <v>18</v>
      </c>
      <c r="N30" s="380"/>
      <c r="O30" s="330"/>
      <c r="P30" s="330"/>
      <c r="Q30" s="330">
        <v>4</v>
      </c>
      <c r="R30" s="383"/>
      <c r="S30" s="383">
        <f t="shared" si="7"/>
        <v>0</v>
      </c>
      <c r="T30" s="383"/>
      <c r="U30" s="383">
        <f t="shared" si="8"/>
        <v>10932.888888888889</v>
      </c>
      <c r="V30" s="383">
        <f t="shared" si="9"/>
        <v>0</v>
      </c>
      <c r="W30" s="383">
        <f t="shared" si="2"/>
        <v>2733.2222222222222</v>
      </c>
      <c r="X30" s="380">
        <v>0.1</v>
      </c>
      <c r="Y30" s="380">
        <v>0.2</v>
      </c>
      <c r="Z30" s="541">
        <v>0.125</v>
      </c>
      <c r="AA30" s="380">
        <v>0.25</v>
      </c>
      <c r="AB30" s="380">
        <v>0.15</v>
      </c>
      <c r="AC30" s="380">
        <v>0.3</v>
      </c>
      <c r="AD30" s="330"/>
      <c r="AE30" s="383"/>
      <c r="AF30" s="330"/>
      <c r="AG30" s="330"/>
      <c r="AH30" s="330"/>
      <c r="AI30" s="383"/>
      <c r="AJ30" s="383"/>
      <c r="AK30" s="330"/>
      <c r="AL30" s="383"/>
      <c r="AM30" s="383"/>
      <c r="AN30" s="383"/>
      <c r="AO30" s="383"/>
      <c r="AP30" s="383"/>
      <c r="AQ30" s="383">
        <f t="shared" si="3"/>
        <v>0</v>
      </c>
      <c r="AR30" s="330"/>
      <c r="AS30" s="383">
        <f t="shared" si="4"/>
        <v>0</v>
      </c>
      <c r="AT30" s="383"/>
      <c r="AU30" s="383">
        <f t="shared" si="5"/>
        <v>0</v>
      </c>
      <c r="AV30" s="383"/>
      <c r="AW30" s="330"/>
      <c r="AX30" s="383"/>
      <c r="AY30" s="330"/>
      <c r="AZ30" s="383"/>
      <c r="BA30" s="383"/>
      <c r="BB30" s="383"/>
      <c r="BC30" s="383">
        <f t="shared" si="10"/>
        <v>0</v>
      </c>
      <c r="BD30" s="383">
        <f t="shared" si="11"/>
        <v>0</v>
      </c>
      <c r="BE30" s="531"/>
      <c r="BF30" s="383"/>
      <c r="BG30" s="383"/>
      <c r="BH30" s="383">
        <f t="shared" si="6"/>
        <v>13666.111111111111</v>
      </c>
      <c r="BI30" s="383">
        <f t="shared" si="12"/>
        <v>13666.111111111111</v>
      </c>
      <c r="BJ30" s="403">
        <f t="shared" si="13"/>
        <v>0</v>
      </c>
      <c r="BK30" s="217"/>
      <c r="BL30" s="217"/>
      <c r="BM30" s="217"/>
      <c r="BN30" s="217"/>
      <c r="BO30" s="217"/>
      <c r="BP30" s="217"/>
      <c r="BQ30" s="217"/>
      <c r="BR30" s="217"/>
      <c r="BS30" s="217"/>
    </row>
    <row r="31" spans="1:71" ht="11.25" customHeight="1">
      <c r="A31" s="213">
        <v>8</v>
      </c>
      <c r="B31" s="330" t="s">
        <v>92</v>
      </c>
      <c r="C31" s="543" t="s">
        <v>376</v>
      </c>
      <c r="D31" s="330" t="s">
        <v>403</v>
      </c>
      <c r="E31" s="384" t="s">
        <v>76</v>
      </c>
      <c r="F31" s="330" t="s">
        <v>105</v>
      </c>
      <c r="G31" s="543" t="s">
        <v>374</v>
      </c>
      <c r="H31" s="376">
        <v>9</v>
      </c>
      <c r="I31" s="540">
        <f t="shared" si="1"/>
        <v>0.5</v>
      </c>
      <c r="J31" s="330">
        <v>17697</v>
      </c>
      <c r="K31" s="383">
        <v>50967</v>
      </c>
      <c r="L31" s="330">
        <v>18</v>
      </c>
      <c r="M31" s="330">
        <v>18</v>
      </c>
      <c r="N31" s="380">
        <v>0.5</v>
      </c>
      <c r="O31" s="330"/>
      <c r="P31" s="330"/>
      <c r="Q31" s="330">
        <v>9</v>
      </c>
      <c r="R31" s="383"/>
      <c r="S31" s="383">
        <f t="shared" si="7"/>
        <v>0</v>
      </c>
      <c r="T31" s="383"/>
      <c r="U31" s="383">
        <f t="shared" si="8"/>
        <v>25483.5</v>
      </c>
      <c r="V31" s="383">
        <f t="shared" si="9"/>
        <v>0</v>
      </c>
      <c r="W31" s="383">
        <f>(S31+U31+V31)*25%</f>
        <v>6370.875</v>
      </c>
      <c r="X31" s="380">
        <v>0.1</v>
      </c>
      <c r="Y31" s="380">
        <v>0.2</v>
      </c>
      <c r="Z31" s="541">
        <v>0.125</v>
      </c>
      <c r="AA31" s="380">
        <v>0.25</v>
      </c>
      <c r="AB31" s="380">
        <v>0.15</v>
      </c>
      <c r="AC31" s="380">
        <v>0.3</v>
      </c>
      <c r="AD31" s="330"/>
      <c r="AE31" s="383"/>
      <c r="AF31" s="330">
        <v>9</v>
      </c>
      <c r="AG31" s="330"/>
      <c r="AH31" s="330"/>
      <c r="AI31" s="383"/>
      <c r="AJ31" s="383"/>
      <c r="AK31" s="330"/>
      <c r="AL31" s="544">
        <f>J31*X31/L31*AF31</f>
        <v>884.84999999999991</v>
      </c>
      <c r="AM31" s="544">
        <f>J31*Y31/L31*AG31</f>
        <v>0</v>
      </c>
      <c r="AN31" s="544">
        <f>J31*X31/L31*AH31</f>
        <v>0</v>
      </c>
      <c r="AO31" s="383"/>
      <c r="AP31" s="383"/>
      <c r="AQ31" s="383">
        <f t="shared" si="3"/>
        <v>0</v>
      </c>
      <c r="AR31" s="330"/>
      <c r="AS31" s="383">
        <f t="shared" si="4"/>
        <v>0</v>
      </c>
      <c r="AT31" s="383"/>
      <c r="AU31" s="383">
        <f t="shared" si="5"/>
        <v>0</v>
      </c>
      <c r="AV31" s="383"/>
      <c r="AW31" s="330"/>
      <c r="AX31" s="383"/>
      <c r="AY31" s="330"/>
      <c r="AZ31" s="383"/>
      <c r="BA31" s="383"/>
      <c r="BB31" s="383">
        <f>17697*15%/18*9</f>
        <v>1327.2749999999999</v>
      </c>
      <c r="BC31" s="383">
        <f t="shared" si="10"/>
        <v>3096.9750000000004</v>
      </c>
      <c r="BD31" s="383">
        <f t="shared" si="11"/>
        <v>4424.25</v>
      </c>
      <c r="BE31" s="531"/>
      <c r="BF31" s="383"/>
      <c r="BG31" s="383"/>
      <c r="BH31" s="383">
        <f t="shared" si="6"/>
        <v>37163.474999999999</v>
      </c>
      <c r="BI31" s="383">
        <f t="shared" si="12"/>
        <v>35836.199999999997</v>
      </c>
      <c r="BJ31" s="403">
        <f t="shared" si="13"/>
        <v>1327.2750000000015</v>
      </c>
      <c r="BK31" s="217"/>
      <c r="BL31" s="217"/>
      <c r="BM31" s="217"/>
      <c r="BN31" s="217"/>
      <c r="BO31" s="217"/>
      <c r="BP31" s="217"/>
      <c r="BQ31" s="217"/>
      <c r="BR31" s="217"/>
      <c r="BS31" s="217"/>
    </row>
    <row r="32" spans="1:71" ht="11.25" customHeight="1">
      <c r="A32" s="213">
        <v>9</v>
      </c>
      <c r="B32" s="545" t="s">
        <v>79</v>
      </c>
      <c r="C32" s="543" t="s">
        <v>376</v>
      </c>
      <c r="D32" s="330" t="s">
        <v>403</v>
      </c>
      <c r="E32" s="384" t="s">
        <v>77</v>
      </c>
      <c r="F32" s="545" t="s">
        <v>137</v>
      </c>
      <c r="G32" s="385" t="s">
        <v>374</v>
      </c>
      <c r="H32" s="376">
        <v>9</v>
      </c>
      <c r="I32" s="540">
        <f t="shared" si="1"/>
        <v>0.88888888888888884</v>
      </c>
      <c r="J32" s="330">
        <v>17697</v>
      </c>
      <c r="K32" s="383">
        <v>50967</v>
      </c>
      <c r="L32" s="330">
        <v>18</v>
      </c>
      <c r="M32" s="330">
        <v>18</v>
      </c>
      <c r="N32" s="380">
        <v>0.5</v>
      </c>
      <c r="O32" s="330"/>
      <c r="P32" s="330"/>
      <c r="Q32" s="330">
        <v>9</v>
      </c>
      <c r="R32" s="383">
        <v>7</v>
      </c>
      <c r="S32" s="383">
        <f t="shared" si="7"/>
        <v>0</v>
      </c>
      <c r="T32" s="383"/>
      <c r="U32" s="383">
        <f t="shared" si="8"/>
        <v>25483.5</v>
      </c>
      <c r="V32" s="383">
        <f t="shared" si="9"/>
        <v>19820.5</v>
      </c>
      <c r="W32" s="383">
        <f t="shared" si="2"/>
        <v>11326</v>
      </c>
      <c r="X32" s="380">
        <v>0.1</v>
      </c>
      <c r="Y32" s="380">
        <v>0.2</v>
      </c>
      <c r="Z32" s="541">
        <v>0.125</v>
      </c>
      <c r="AA32" s="380">
        <v>0.25</v>
      </c>
      <c r="AB32" s="380">
        <v>0.15</v>
      </c>
      <c r="AC32" s="380">
        <v>0.3</v>
      </c>
      <c r="AD32" s="330"/>
      <c r="AE32" s="383"/>
      <c r="AF32" s="330">
        <v>8</v>
      </c>
      <c r="AG32" s="330"/>
      <c r="AH32" s="330">
        <v>6</v>
      </c>
      <c r="AI32" s="382"/>
      <c r="AJ32" s="383"/>
      <c r="AK32" s="383"/>
      <c r="AL32" s="544">
        <f>J32*X32/L32*AF32</f>
        <v>786.5333333333333</v>
      </c>
      <c r="AM32" s="544">
        <f>J32*Y32/L32*AG32</f>
        <v>0</v>
      </c>
      <c r="AN32" s="544">
        <f>J32*X32/L32*AH32</f>
        <v>589.9</v>
      </c>
      <c r="AO32" s="383">
        <f>J32*Y32/L33*AI32</f>
        <v>0</v>
      </c>
      <c r="AP32" s="383"/>
      <c r="AQ32" s="383">
        <f t="shared" si="3"/>
        <v>0</v>
      </c>
      <c r="AR32" s="383"/>
      <c r="AS32" s="383">
        <f>J32*AA32/L32*AR32</f>
        <v>0</v>
      </c>
      <c r="AT32" s="383"/>
      <c r="AU32" s="383">
        <f>J32*AA32/L32*AT32</f>
        <v>0</v>
      </c>
      <c r="AV32" s="383"/>
      <c r="AW32" s="330"/>
      <c r="AX32" s="383"/>
      <c r="AY32" s="383"/>
      <c r="AZ32" s="383">
        <v>2655</v>
      </c>
      <c r="BA32" s="330"/>
      <c r="BB32" s="383">
        <f>17697*15%/18*16</f>
        <v>2359.6</v>
      </c>
      <c r="BC32" s="383">
        <f t="shared" si="10"/>
        <v>5505.7333333333336</v>
      </c>
      <c r="BD32" s="383">
        <f t="shared" si="11"/>
        <v>7865.333333333333</v>
      </c>
      <c r="BE32" s="531"/>
      <c r="BF32" s="329"/>
      <c r="BG32" s="330"/>
      <c r="BH32" s="383">
        <f t="shared" si="6"/>
        <v>68526.766666666663</v>
      </c>
      <c r="BI32" s="383">
        <f t="shared" si="12"/>
        <v>66167.166666666672</v>
      </c>
      <c r="BJ32" s="403">
        <f t="shared" si="13"/>
        <v>2359.5999999999913</v>
      </c>
    </row>
    <row r="33" spans="1:62" ht="11.25" customHeight="1">
      <c r="A33" s="213">
        <v>10</v>
      </c>
      <c r="B33" s="330" t="s">
        <v>84</v>
      </c>
      <c r="C33" s="543" t="s">
        <v>85</v>
      </c>
      <c r="D33" s="330" t="s">
        <v>403</v>
      </c>
      <c r="E33" s="384" t="s">
        <v>78</v>
      </c>
      <c r="F33" s="330" t="s">
        <v>138</v>
      </c>
      <c r="G33" s="543" t="s">
        <v>438</v>
      </c>
      <c r="H33" s="376">
        <v>9</v>
      </c>
      <c r="I33" s="540">
        <f t="shared" si="1"/>
        <v>0.77777777777777779</v>
      </c>
      <c r="J33" s="330">
        <v>17697</v>
      </c>
      <c r="K33" s="383">
        <v>50967</v>
      </c>
      <c r="L33" s="330">
        <v>18</v>
      </c>
      <c r="M33" s="330">
        <v>18</v>
      </c>
      <c r="N33" s="380">
        <v>0.5</v>
      </c>
      <c r="O33" s="330"/>
      <c r="P33" s="330"/>
      <c r="Q33" s="330">
        <v>11</v>
      </c>
      <c r="R33" s="383">
        <v>3</v>
      </c>
      <c r="S33" s="383">
        <f t="shared" si="7"/>
        <v>0</v>
      </c>
      <c r="T33" s="383"/>
      <c r="U33" s="383">
        <f t="shared" si="8"/>
        <v>31146.5</v>
      </c>
      <c r="V33" s="383">
        <f t="shared" si="9"/>
        <v>8494.5</v>
      </c>
      <c r="W33" s="383">
        <f t="shared" si="2"/>
        <v>9910.25</v>
      </c>
      <c r="X33" s="380">
        <v>0.1</v>
      </c>
      <c r="Y33" s="380">
        <v>0.2</v>
      </c>
      <c r="Z33" s="541">
        <v>0.125</v>
      </c>
      <c r="AA33" s="380">
        <v>0.25</v>
      </c>
      <c r="AB33" s="380">
        <v>0.15</v>
      </c>
      <c r="AC33" s="380">
        <v>0.3</v>
      </c>
      <c r="AD33" s="330"/>
      <c r="AE33" s="383"/>
      <c r="AF33" s="330">
        <v>8</v>
      </c>
      <c r="AG33" s="330"/>
      <c r="AH33" s="330">
        <v>3</v>
      </c>
      <c r="AI33" s="383"/>
      <c r="AJ33" s="383"/>
      <c r="AK33" s="383"/>
      <c r="AL33" s="544">
        <f>J33*X33/L33*AF33</f>
        <v>786.5333333333333</v>
      </c>
      <c r="AM33" s="544">
        <f>J33*Y33/L33*AG33</f>
        <v>0</v>
      </c>
      <c r="AN33" s="544">
        <f>J33*X33/L33*AH33</f>
        <v>294.95</v>
      </c>
      <c r="AO33" s="383">
        <f>J33*Y33/L34*AI33</f>
        <v>0</v>
      </c>
      <c r="AP33" s="383"/>
      <c r="AQ33" s="383">
        <f t="shared" si="3"/>
        <v>0</v>
      </c>
      <c r="AR33" s="383"/>
      <c r="AS33" s="383">
        <f t="shared" ref="AS33:AS50" si="14">J33*AA33/L33*AR33</f>
        <v>0</v>
      </c>
      <c r="AT33" s="383"/>
      <c r="AU33" s="383">
        <f t="shared" si="5"/>
        <v>0</v>
      </c>
      <c r="AV33" s="383"/>
      <c r="AW33" s="330"/>
      <c r="AX33" s="383"/>
      <c r="AY33" s="330"/>
      <c r="AZ33" s="353"/>
      <c r="BA33" s="330"/>
      <c r="BB33" s="383">
        <f>17697*15%/18*14</f>
        <v>2064.65</v>
      </c>
      <c r="BC33" s="383">
        <f t="shared" si="10"/>
        <v>4817.5166666666664</v>
      </c>
      <c r="BD33" s="383">
        <f t="shared" si="11"/>
        <v>6882.1666666666661</v>
      </c>
      <c r="BE33" s="531"/>
      <c r="BF33" s="329"/>
      <c r="BG33" s="330"/>
      <c r="BH33" s="383">
        <f t="shared" si="6"/>
        <v>57514.899999999994</v>
      </c>
      <c r="BI33" s="383">
        <f t="shared" si="12"/>
        <v>55450.25</v>
      </c>
      <c r="BJ33" s="403">
        <f t="shared" si="13"/>
        <v>2064.6499999999942</v>
      </c>
    </row>
    <row r="34" spans="1:62" ht="11.25" customHeight="1">
      <c r="A34" s="213"/>
      <c r="B34" s="330" t="s">
        <v>84</v>
      </c>
      <c r="C34" s="543" t="s">
        <v>356</v>
      </c>
      <c r="D34" s="330" t="s">
        <v>403</v>
      </c>
      <c r="E34" s="384">
        <v>188972</v>
      </c>
      <c r="F34" s="330" t="s">
        <v>458</v>
      </c>
      <c r="G34" s="543"/>
      <c r="H34" s="376">
        <v>9</v>
      </c>
      <c r="I34" s="540">
        <f t="shared" si="1"/>
        <v>0.44444444444444442</v>
      </c>
      <c r="J34" s="330">
        <v>17697</v>
      </c>
      <c r="K34" s="383">
        <v>50967</v>
      </c>
      <c r="L34" s="330">
        <v>18</v>
      </c>
      <c r="M34" s="330">
        <v>18</v>
      </c>
      <c r="N34" s="380"/>
      <c r="O34" s="330"/>
      <c r="P34" s="330"/>
      <c r="Q34" s="330">
        <v>6</v>
      </c>
      <c r="R34" s="531">
        <v>2</v>
      </c>
      <c r="S34" s="383">
        <f t="shared" si="7"/>
        <v>0</v>
      </c>
      <c r="T34" s="383"/>
      <c r="U34" s="383">
        <f t="shared" si="8"/>
        <v>16989</v>
      </c>
      <c r="V34" s="383">
        <f t="shared" si="9"/>
        <v>5663</v>
      </c>
      <c r="W34" s="383">
        <f t="shared" si="2"/>
        <v>5663</v>
      </c>
      <c r="X34" s="380">
        <v>0.1</v>
      </c>
      <c r="Y34" s="380">
        <v>0.2</v>
      </c>
      <c r="Z34" s="541">
        <v>0.125</v>
      </c>
      <c r="AA34" s="380">
        <v>0.25</v>
      </c>
      <c r="AB34" s="380">
        <v>0.15</v>
      </c>
      <c r="AC34" s="380">
        <v>0.3</v>
      </c>
      <c r="AD34" s="330"/>
      <c r="AE34" s="383"/>
      <c r="AF34" s="330">
        <v>5</v>
      </c>
      <c r="AG34" s="330"/>
      <c r="AH34" s="383">
        <v>2</v>
      </c>
      <c r="AI34" s="383"/>
      <c r="AJ34" s="383"/>
      <c r="AK34" s="330"/>
      <c r="AL34" s="544">
        <f>J34*X34/L34*AF34</f>
        <v>491.58333333333331</v>
      </c>
      <c r="AM34" s="544">
        <f>J34*Y34/L34*AG34</f>
        <v>0</v>
      </c>
      <c r="AN34" s="544">
        <f>J34*X34/L34*AH34</f>
        <v>196.63333333333333</v>
      </c>
      <c r="AO34" s="383">
        <f>J34*Y34/L35*AI34</f>
        <v>0</v>
      </c>
      <c r="AP34" s="383"/>
      <c r="AQ34" s="383">
        <f t="shared" si="3"/>
        <v>0</v>
      </c>
      <c r="AR34" s="383"/>
      <c r="AS34" s="383">
        <f t="shared" si="14"/>
        <v>0</v>
      </c>
      <c r="AT34" s="383"/>
      <c r="AU34" s="383">
        <f t="shared" si="5"/>
        <v>0</v>
      </c>
      <c r="AV34" s="383"/>
      <c r="AW34" s="330"/>
      <c r="AX34" s="383"/>
      <c r="AY34" s="383"/>
      <c r="AZ34" s="383"/>
      <c r="BA34" s="330"/>
      <c r="BB34" s="383"/>
      <c r="BC34" s="383">
        <f t="shared" si="10"/>
        <v>0</v>
      </c>
      <c r="BD34" s="383">
        <f t="shared" si="11"/>
        <v>0</v>
      </c>
      <c r="BE34" s="531"/>
      <c r="BF34" s="329"/>
      <c r="BG34" s="330"/>
      <c r="BH34" s="383">
        <f t="shared" si="6"/>
        <v>29003.216666666667</v>
      </c>
      <c r="BI34" s="383">
        <f t="shared" si="12"/>
        <v>29003.216666666667</v>
      </c>
      <c r="BJ34" s="403">
        <f t="shared" si="13"/>
        <v>0</v>
      </c>
    </row>
    <row r="35" spans="1:62" ht="11.25" customHeight="1">
      <c r="A35" s="213">
        <v>11</v>
      </c>
      <c r="B35" s="330" t="s">
        <v>459</v>
      </c>
      <c r="C35" s="543" t="s">
        <v>445</v>
      </c>
      <c r="D35" s="330" t="s">
        <v>403</v>
      </c>
      <c r="E35" s="384">
        <v>188972</v>
      </c>
      <c r="F35" s="330" t="s">
        <v>139</v>
      </c>
      <c r="G35" s="543" t="s">
        <v>374</v>
      </c>
      <c r="H35" s="376">
        <v>9</v>
      </c>
      <c r="I35" s="540">
        <f t="shared" si="1"/>
        <v>1.3333333333333333</v>
      </c>
      <c r="J35" s="330">
        <v>17697</v>
      </c>
      <c r="K35" s="383">
        <v>50967</v>
      </c>
      <c r="L35" s="330">
        <v>18</v>
      </c>
      <c r="M35" s="330">
        <v>18</v>
      </c>
      <c r="N35" s="380">
        <v>0.5</v>
      </c>
      <c r="O35" s="330"/>
      <c r="P35" s="330"/>
      <c r="Q35" s="330">
        <v>24</v>
      </c>
      <c r="R35" s="531"/>
      <c r="S35" s="383">
        <f t="shared" si="7"/>
        <v>0</v>
      </c>
      <c r="T35" s="383"/>
      <c r="U35" s="383">
        <f t="shared" si="8"/>
        <v>67956</v>
      </c>
      <c r="V35" s="383">
        <f t="shared" si="9"/>
        <v>0</v>
      </c>
      <c r="W35" s="383">
        <f t="shared" si="2"/>
        <v>16989</v>
      </c>
      <c r="X35" s="380">
        <v>0.1</v>
      </c>
      <c r="Y35" s="380">
        <v>0.2</v>
      </c>
      <c r="Z35" s="541">
        <v>0.125</v>
      </c>
      <c r="AA35" s="380">
        <v>0.25</v>
      </c>
      <c r="AB35" s="380">
        <v>0.15</v>
      </c>
      <c r="AC35" s="380">
        <v>0.3</v>
      </c>
      <c r="AD35" s="330"/>
      <c r="AE35" s="383"/>
      <c r="AF35" s="330">
        <v>18</v>
      </c>
      <c r="AG35" s="330"/>
      <c r="AH35" s="383"/>
      <c r="AI35" s="383"/>
      <c r="AJ35" s="383"/>
      <c r="AK35" s="330"/>
      <c r="AL35" s="383">
        <f>J35*Z35/L35*AF35</f>
        <v>2212.125</v>
      </c>
      <c r="AM35" s="383">
        <f>J35*AA35/L35*AG35</f>
        <v>0</v>
      </c>
      <c r="AN35" s="383">
        <f>J35*Z35/L35*AH35</f>
        <v>0</v>
      </c>
      <c r="AO35" s="383">
        <f>J35*Y35/L35*AI35</f>
        <v>0</v>
      </c>
      <c r="AP35" s="383"/>
      <c r="AQ35" s="383">
        <f t="shared" si="3"/>
        <v>0</v>
      </c>
      <c r="AR35" s="383"/>
      <c r="AS35" s="383">
        <f t="shared" si="14"/>
        <v>0</v>
      </c>
      <c r="AT35" s="383"/>
      <c r="AU35" s="383">
        <f t="shared" si="5"/>
        <v>0</v>
      </c>
      <c r="AV35" s="383"/>
      <c r="AW35" s="330"/>
      <c r="AX35" s="383">
        <v>2655</v>
      </c>
      <c r="AY35" s="383"/>
      <c r="AZ35" s="383"/>
      <c r="BA35" s="330"/>
      <c r="BB35" s="383">
        <f>17697*15%/18*24</f>
        <v>3539.3999999999996</v>
      </c>
      <c r="BC35" s="383">
        <f t="shared" si="10"/>
        <v>8258.6</v>
      </c>
      <c r="BD35" s="383">
        <f t="shared" si="11"/>
        <v>11798</v>
      </c>
      <c r="BE35" s="531"/>
      <c r="BF35" s="329">
        <v>3539</v>
      </c>
      <c r="BG35" s="330"/>
      <c r="BH35" s="383">
        <f t="shared" si="6"/>
        <v>105149.125</v>
      </c>
      <c r="BI35" s="383">
        <f t="shared" si="12"/>
        <v>101609.72500000001</v>
      </c>
      <c r="BJ35" s="403">
        <f t="shared" si="13"/>
        <v>3539.3999999999942</v>
      </c>
    </row>
    <row r="36" spans="1:62" ht="11.25" customHeight="1">
      <c r="A36" s="213">
        <v>12</v>
      </c>
      <c r="B36" s="330" t="s">
        <v>94</v>
      </c>
      <c r="C36" s="543" t="s">
        <v>460</v>
      </c>
      <c r="D36" s="330" t="s">
        <v>403</v>
      </c>
      <c r="E36" s="384" t="s">
        <v>81</v>
      </c>
      <c r="F36" s="330" t="s">
        <v>456</v>
      </c>
      <c r="G36" s="543" t="s">
        <v>374</v>
      </c>
      <c r="H36" s="376">
        <v>9</v>
      </c>
      <c r="I36" s="540">
        <f t="shared" si="1"/>
        <v>1.2777777777777779</v>
      </c>
      <c r="J36" s="330">
        <v>17697</v>
      </c>
      <c r="K36" s="383">
        <v>50083</v>
      </c>
      <c r="L36" s="330">
        <v>18</v>
      </c>
      <c r="M36" s="330">
        <v>18</v>
      </c>
      <c r="N36" s="380">
        <v>0.5</v>
      </c>
      <c r="O36" s="330"/>
      <c r="P36" s="330">
        <v>3</v>
      </c>
      <c r="Q36" s="330">
        <v>12</v>
      </c>
      <c r="R36" s="531">
        <v>8</v>
      </c>
      <c r="S36" s="383">
        <f>K36/L36*P36</f>
        <v>8347.1666666666661</v>
      </c>
      <c r="T36" s="383"/>
      <c r="U36" s="383">
        <f>K36/L36*Q36</f>
        <v>33388.666666666664</v>
      </c>
      <c r="V36" s="383">
        <f>K36/L36*R36</f>
        <v>22259.111111111109</v>
      </c>
      <c r="W36" s="383">
        <f>(S36+U36+V36)*25%</f>
        <v>15998.736111111109</v>
      </c>
      <c r="X36" s="380">
        <v>0.1</v>
      </c>
      <c r="Y36" s="380">
        <v>0.2</v>
      </c>
      <c r="Z36" s="541">
        <v>0.125</v>
      </c>
      <c r="AA36" s="380">
        <v>0.25</v>
      </c>
      <c r="AB36" s="380">
        <v>0.15</v>
      </c>
      <c r="AC36" s="380">
        <v>0.3</v>
      </c>
      <c r="AD36" s="330"/>
      <c r="AE36" s="383"/>
      <c r="AF36" s="330">
        <v>12</v>
      </c>
      <c r="AG36" s="330"/>
      <c r="AH36" s="383">
        <v>8</v>
      </c>
      <c r="AI36" s="383"/>
      <c r="AJ36" s="383"/>
      <c r="AK36" s="330"/>
      <c r="AL36" s="544">
        <f>J36*X36/L36*AF36</f>
        <v>1179.8</v>
      </c>
      <c r="AM36" s="544">
        <f>J36*Y36/L36*AG36</f>
        <v>0</v>
      </c>
      <c r="AN36" s="544">
        <f>J36*X36/L36*AH36</f>
        <v>786.5333333333333</v>
      </c>
      <c r="AO36" s="383">
        <f>J36*Y36/L38*AI36</f>
        <v>0</v>
      </c>
      <c r="AP36" s="383"/>
      <c r="AQ36" s="383">
        <f t="shared" si="3"/>
        <v>0</v>
      </c>
      <c r="AR36" s="383"/>
      <c r="AS36" s="383">
        <f t="shared" si="14"/>
        <v>0</v>
      </c>
      <c r="AT36" s="383"/>
      <c r="AU36" s="383">
        <f t="shared" si="5"/>
        <v>0</v>
      </c>
      <c r="AV36" s="383"/>
      <c r="AW36" s="330"/>
      <c r="AX36" s="383">
        <v>2655</v>
      </c>
      <c r="AY36" s="383"/>
      <c r="AZ36" s="383"/>
      <c r="BA36" s="330"/>
      <c r="BB36" s="383">
        <f>17697*15%/18*23</f>
        <v>3391.9249999999997</v>
      </c>
      <c r="BC36" s="383">
        <f t="shared" si="10"/>
        <v>7914.4916666666668</v>
      </c>
      <c r="BD36" s="383">
        <f t="shared" si="11"/>
        <v>11306.416666666666</v>
      </c>
      <c r="BE36" s="531"/>
      <c r="BF36" s="329">
        <v>3539</v>
      </c>
      <c r="BG36" s="330"/>
      <c r="BH36" s="383">
        <f t="shared" si="6"/>
        <v>99460.430555555562</v>
      </c>
      <c r="BI36" s="383">
        <f t="shared" si="12"/>
        <v>96068.505555555559</v>
      </c>
      <c r="BJ36" s="403">
        <f t="shared" si="13"/>
        <v>3391.9250000000029</v>
      </c>
    </row>
    <row r="37" spans="1:62" ht="11.25" customHeight="1">
      <c r="A37" s="213"/>
      <c r="B37" s="330" t="s">
        <v>94</v>
      </c>
      <c r="C37" s="543" t="s">
        <v>361</v>
      </c>
      <c r="D37" s="330" t="s">
        <v>403</v>
      </c>
      <c r="E37" s="384"/>
      <c r="F37" s="330" t="s">
        <v>456</v>
      </c>
      <c r="G37" s="543"/>
      <c r="H37" s="376">
        <v>9</v>
      </c>
      <c r="I37" s="540">
        <f t="shared" si="1"/>
        <v>0.16666666666666666</v>
      </c>
      <c r="J37" s="330">
        <v>17697</v>
      </c>
      <c r="K37" s="383">
        <v>50083</v>
      </c>
      <c r="L37" s="330">
        <v>18</v>
      </c>
      <c r="M37" s="330">
        <v>18</v>
      </c>
      <c r="N37" s="380"/>
      <c r="O37" s="330"/>
      <c r="P37" s="330"/>
      <c r="Q37" s="330">
        <v>3</v>
      </c>
      <c r="R37" s="531"/>
      <c r="S37" s="383">
        <f>K37/L37*P37</f>
        <v>0</v>
      </c>
      <c r="T37" s="383"/>
      <c r="U37" s="383">
        <f>K37/L37*Q37</f>
        <v>8347.1666666666661</v>
      </c>
      <c r="V37" s="383">
        <f>K37/L37*R37</f>
        <v>0</v>
      </c>
      <c r="W37" s="383">
        <f>(S37+U37+V37)*25%</f>
        <v>2086.7916666666665</v>
      </c>
      <c r="X37" s="380"/>
      <c r="Y37" s="380"/>
      <c r="Z37" s="541"/>
      <c r="AA37" s="380"/>
      <c r="AB37" s="380"/>
      <c r="AC37" s="380"/>
      <c r="AD37" s="330"/>
      <c r="AE37" s="383"/>
      <c r="AF37" s="330"/>
      <c r="AG37" s="330"/>
      <c r="AH37" s="383"/>
      <c r="AI37" s="383"/>
      <c r="AJ37" s="383"/>
      <c r="AK37" s="330"/>
      <c r="AL37" s="544"/>
      <c r="AM37" s="544"/>
      <c r="AN37" s="544"/>
      <c r="AO37" s="383"/>
      <c r="AP37" s="383">
        <v>3</v>
      </c>
      <c r="AQ37" s="383">
        <v>737</v>
      </c>
      <c r="AR37" s="383"/>
      <c r="AS37" s="383"/>
      <c r="AT37" s="383"/>
      <c r="AU37" s="383"/>
      <c r="AV37" s="383"/>
      <c r="AW37" s="330"/>
      <c r="AX37" s="383"/>
      <c r="AY37" s="383"/>
      <c r="AZ37" s="383"/>
      <c r="BA37" s="330"/>
      <c r="BB37" s="383"/>
      <c r="BC37" s="383"/>
      <c r="BD37" s="383"/>
      <c r="BE37" s="531"/>
      <c r="BF37" s="329"/>
      <c r="BG37" s="330"/>
      <c r="BH37" s="383">
        <f t="shared" si="6"/>
        <v>11170.958333333332</v>
      </c>
      <c r="BI37" s="383">
        <f t="shared" si="12"/>
        <v>11170.958333333332</v>
      </c>
      <c r="BJ37" s="403">
        <f t="shared" si="13"/>
        <v>0</v>
      </c>
    </row>
    <row r="38" spans="1:62" ht="11.25" customHeight="1">
      <c r="A38" s="213">
        <v>13</v>
      </c>
      <c r="B38" s="330" t="s">
        <v>86</v>
      </c>
      <c r="C38" s="543" t="s">
        <v>140</v>
      </c>
      <c r="D38" s="330" t="s">
        <v>403</v>
      </c>
      <c r="E38" s="384" t="s">
        <v>81</v>
      </c>
      <c r="F38" s="330" t="s">
        <v>141</v>
      </c>
      <c r="G38" s="543" t="s">
        <v>374</v>
      </c>
      <c r="H38" s="376">
        <v>9</v>
      </c>
      <c r="I38" s="540">
        <f t="shared" si="1"/>
        <v>0.5</v>
      </c>
      <c r="J38" s="330">
        <v>17697</v>
      </c>
      <c r="K38" s="383">
        <v>50967</v>
      </c>
      <c r="L38" s="330">
        <v>18</v>
      </c>
      <c r="M38" s="330">
        <v>18</v>
      </c>
      <c r="N38" s="380">
        <v>0.5</v>
      </c>
      <c r="O38" s="330"/>
      <c r="P38" s="330"/>
      <c r="Q38" s="330"/>
      <c r="R38" s="531">
        <v>9</v>
      </c>
      <c r="S38" s="383">
        <f t="shared" si="7"/>
        <v>0</v>
      </c>
      <c r="T38" s="383"/>
      <c r="U38" s="383">
        <f t="shared" si="8"/>
        <v>0</v>
      </c>
      <c r="V38" s="383">
        <f t="shared" si="9"/>
        <v>25483.5</v>
      </c>
      <c r="W38" s="383">
        <f>(S38+U38+V38)*25%</f>
        <v>6370.875</v>
      </c>
      <c r="X38" s="380">
        <v>0.1</v>
      </c>
      <c r="Y38" s="380">
        <v>0.2</v>
      </c>
      <c r="Z38" s="541">
        <v>0.125</v>
      </c>
      <c r="AA38" s="380">
        <v>0.25</v>
      </c>
      <c r="AB38" s="380">
        <v>0.15</v>
      </c>
      <c r="AC38" s="380">
        <v>0.3</v>
      </c>
      <c r="AD38" s="330"/>
      <c r="AE38" s="383"/>
      <c r="AF38" s="330"/>
      <c r="AG38" s="330"/>
      <c r="AH38" s="383">
        <v>5</v>
      </c>
      <c r="AI38" s="383"/>
      <c r="AJ38" s="383"/>
      <c r="AK38" s="330"/>
      <c r="AL38" s="383">
        <f>J38*Z38/L38*AF38</f>
        <v>0</v>
      </c>
      <c r="AM38" s="383">
        <f>J38*AA38/L38*AG38</f>
        <v>0</v>
      </c>
      <c r="AN38" s="383">
        <f>J38*Z38/L38*AH38</f>
        <v>614.47916666666663</v>
      </c>
      <c r="AO38" s="383">
        <f>J38*Y38/L38*AI38</f>
        <v>0</v>
      </c>
      <c r="AP38" s="383"/>
      <c r="AQ38" s="383">
        <f t="shared" si="3"/>
        <v>0</v>
      </c>
      <c r="AR38" s="383"/>
      <c r="AS38" s="383">
        <f t="shared" si="14"/>
        <v>0</v>
      </c>
      <c r="AT38" s="383"/>
      <c r="AU38" s="383">
        <f t="shared" si="5"/>
        <v>0</v>
      </c>
      <c r="AV38" s="383"/>
      <c r="AW38" s="330"/>
      <c r="AX38" s="383"/>
      <c r="AY38" s="383"/>
      <c r="AZ38" s="383"/>
      <c r="BA38" s="330"/>
      <c r="BB38" s="383">
        <f>17697*15%/18*9</f>
        <v>1327.2749999999999</v>
      </c>
      <c r="BC38" s="383">
        <f t="shared" si="10"/>
        <v>3096.9750000000004</v>
      </c>
      <c r="BD38" s="383">
        <f t="shared" si="11"/>
        <v>4424.25</v>
      </c>
      <c r="BE38" s="531"/>
      <c r="BF38" s="329"/>
      <c r="BG38" s="330"/>
      <c r="BH38" s="383">
        <f t="shared" si="6"/>
        <v>36893.104166666672</v>
      </c>
      <c r="BI38" s="383">
        <f t="shared" si="12"/>
        <v>35565.82916666667</v>
      </c>
      <c r="BJ38" s="403">
        <f t="shared" si="13"/>
        <v>1327.2750000000015</v>
      </c>
    </row>
    <row r="39" spans="1:62" ht="11.25" customHeight="1">
      <c r="A39" s="213">
        <v>14</v>
      </c>
      <c r="B39" s="330" t="s">
        <v>89</v>
      </c>
      <c r="C39" s="543" t="s">
        <v>368</v>
      </c>
      <c r="D39" s="330" t="s">
        <v>403</v>
      </c>
      <c r="E39" s="384" t="s">
        <v>83</v>
      </c>
      <c r="F39" s="330" t="s">
        <v>142</v>
      </c>
      <c r="G39" s="543" t="s">
        <v>438</v>
      </c>
      <c r="H39" s="376">
        <v>9</v>
      </c>
      <c r="I39" s="540">
        <f t="shared" si="1"/>
        <v>1.1111111111111112</v>
      </c>
      <c r="J39" s="330">
        <v>17697</v>
      </c>
      <c r="K39" s="383">
        <v>50967</v>
      </c>
      <c r="L39" s="330">
        <v>18</v>
      </c>
      <c r="M39" s="330">
        <v>18</v>
      </c>
      <c r="N39" s="380">
        <v>0.5</v>
      </c>
      <c r="O39" s="330"/>
      <c r="P39" s="330">
        <v>20</v>
      </c>
      <c r="Q39" s="330"/>
      <c r="R39" s="383"/>
      <c r="S39" s="383">
        <f t="shared" si="7"/>
        <v>56630</v>
      </c>
      <c r="T39" s="383"/>
      <c r="U39" s="383">
        <f t="shared" si="8"/>
        <v>0</v>
      </c>
      <c r="V39" s="383">
        <f t="shared" si="9"/>
        <v>0</v>
      </c>
      <c r="W39" s="383">
        <f t="shared" si="2"/>
        <v>14157.5</v>
      </c>
      <c r="X39" s="380">
        <v>0.1</v>
      </c>
      <c r="Y39" s="380">
        <v>0.2</v>
      </c>
      <c r="Z39" s="541">
        <v>0.125</v>
      </c>
      <c r="AA39" s="380">
        <v>0.25</v>
      </c>
      <c r="AB39" s="380">
        <v>0.15</v>
      </c>
      <c r="AC39" s="380">
        <v>0.3</v>
      </c>
      <c r="AD39" s="330">
        <v>16</v>
      </c>
      <c r="AE39" s="383"/>
      <c r="AF39" s="330"/>
      <c r="AG39" s="330"/>
      <c r="AH39" s="330"/>
      <c r="AI39" s="383"/>
      <c r="AJ39" s="383">
        <f>17697*10%/18*16</f>
        <v>1573.0666666666666</v>
      </c>
      <c r="AK39" s="330"/>
      <c r="AL39" s="383"/>
      <c r="AM39" s="383"/>
      <c r="AN39" s="383"/>
      <c r="AO39" s="383"/>
      <c r="AP39" s="383"/>
      <c r="AQ39" s="383">
        <f t="shared" si="3"/>
        <v>0</v>
      </c>
      <c r="AR39" s="383"/>
      <c r="AS39" s="383">
        <f t="shared" si="14"/>
        <v>0</v>
      </c>
      <c r="AT39" s="383"/>
      <c r="AU39" s="383">
        <f t="shared" si="5"/>
        <v>0</v>
      </c>
      <c r="AV39" s="383">
        <v>2212</v>
      </c>
      <c r="AW39" s="330"/>
      <c r="AX39" s="383"/>
      <c r="AY39" s="383"/>
      <c r="AZ39" s="383"/>
      <c r="BA39" s="531"/>
      <c r="BB39" s="383">
        <f>17697*15%/18*20</f>
        <v>2949.5</v>
      </c>
      <c r="BC39" s="383">
        <f t="shared" si="10"/>
        <v>6882.1666666666661</v>
      </c>
      <c r="BD39" s="383">
        <f t="shared" si="11"/>
        <v>9831.6666666666661</v>
      </c>
      <c r="BE39" s="531"/>
      <c r="BF39" s="329"/>
      <c r="BG39" s="330"/>
      <c r="BH39" s="383">
        <f t="shared" si="6"/>
        <v>84404.233333333337</v>
      </c>
      <c r="BI39" s="383">
        <f t="shared" si="12"/>
        <v>81454.733333333337</v>
      </c>
      <c r="BJ39" s="403">
        <f t="shared" si="13"/>
        <v>2949.5</v>
      </c>
    </row>
    <row r="40" spans="1:62" ht="11.25" customHeight="1">
      <c r="A40" s="213">
        <v>15</v>
      </c>
      <c r="B40" s="330" t="s">
        <v>461</v>
      </c>
      <c r="C40" s="543" t="s">
        <v>372</v>
      </c>
      <c r="D40" s="330" t="s">
        <v>403</v>
      </c>
      <c r="E40" s="384" t="s">
        <v>83</v>
      </c>
      <c r="F40" s="330" t="s">
        <v>143</v>
      </c>
      <c r="G40" s="543" t="s">
        <v>374</v>
      </c>
      <c r="H40" s="376">
        <v>9</v>
      </c>
      <c r="I40" s="540">
        <f t="shared" si="1"/>
        <v>1.2777777777777777</v>
      </c>
      <c r="J40" s="330">
        <v>17697</v>
      </c>
      <c r="K40" s="383">
        <v>50967</v>
      </c>
      <c r="L40" s="330">
        <v>18</v>
      </c>
      <c r="M40" s="330">
        <v>18</v>
      </c>
      <c r="N40" s="380">
        <v>0.5</v>
      </c>
      <c r="O40" s="330"/>
      <c r="P40" s="330"/>
      <c r="Q40" s="330">
        <v>10</v>
      </c>
      <c r="R40" s="383">
        <v>13</v>
      </c>
      <c r="S40" s="383">
        <f t="shared" si="7"/>
        <v>0</v>
      </c>
      <c r="T40" s="383"/>
      <c r="U40" s="383">
        <f t="shared" si="8"/>
        <v>28315</v>
      </c>
      <c r="V40" s="383">
        <f t="shared" si="9"/>
        <v>36809.5</v>
      </c>
      <c r="W40" s="383">
        <f t="shared" si="2"/>
        <v>16281.125</v>
      </c>
      <c r="X40" s="380">
        <v>0.1</v>
      </c>
      <c r="Y40" s="380">
        <v>0.2</v>
      </c>
      <c r="Z40" s="541">
        <v>0.125</v>
      </c>
      <c r="AA40" s="380">
        <v>0.25</v>
      </c>
      <c r="AB40" s="380">
        <v>0.15</v>
      </c>
      <c r="AC40" s="380">
        <v>0.3</v>
      </c>
      <c r="AD40" s="330"/>
      <c r="AE40" s="383"/>
      <c r="AF40" s="330"/>
      <c r="AG40" s="330"/>
      <c r="AH40" s="330"/>
      <c r="AI40" s="383"/>
      <c r="AJ40" s="383"/>
      <c r="AK40" s="330"/>
      <c r="AL40" s="383"/>
      <c r="AM40" s="383"/>
      <c r="AN40" s="383"/>
      <c r="AO40" s="383"/>
      <c r="AP40" s="383"/>
      <c r="AQ40" s="383">
        <f t="shared" si="3"/>
        <v>0</v>
      </c>
      <c r="AR40" s="383"/>
      <c r="AS40" s="383">
        <f t="shared" si="14"/>
        <v>0</v>
      </c>
      <c r="AT40" s="383"/>
      <c r="AU40" s="383">
        <f t="shared" si="5"/>
        <v>0</v>
      </c>
      <c r="AV40" s="383"/>
      <c r="AW40" s="330"/>
      <c r="AX40" s="383"/>
      <c r="AY40" s="383"/>
      <c r="AZ40" s="383">
        <v>2655</v>
      </c>
      <c r="BA40" s="531"/>
      <c r="BB40" s="383">
        <f>17697*15%/18*23</f>
        <v>3391.9249999999997</v>
      </c>
      <c r="BC40" s="383">
        <f t="shared" si="10"/>
        <v>7914.4916666666668</v>
      </c>
      <c r="BD40" s="383">
        <f t="shared" si="11"/>
        <v>11306.416666666666</v>
      </c>
      <c r="BE40" s="531"/>
      <c r="BF40" s="329"/>
      <c r="BG40" s="330"/>
      <c r="BH40" s="383">
        <f t="shared" si="6"/>
        <v>95367.041666666672</v>
      </c>
      <c r="BI40" s="383">
        <f t="shared" si="12"/>
        <v>91975.116666666669</v>
      </c>
      <c r="BJ40" s="403">
        <f t="shared" si="13"/>
        <v>3391.9250000000029</v>
      </c>
    </row>
    <row r="41" spans="1:62" ht="11.25" customHeight="1">
      <c r="A41" s="213">
        <v>16</v>
      </c>
      <c r="B41" s="330" t="s">
        <v>462</v>
      </c>
      <c r="C41" s="543" t="s">
        <v>145</v>
      </c>
      <c r="D41" s="330" t="s">
        <v>403</v>
      </c>
      <c r="E41" s="384" t="s">
        <v>83</v>
      </c>
      <c r="F41" s="330" t="s">
        <v>144</v>
      </c>
      <c r="G41" s="543" t="s">
        <v>355</v>
      </c>
      <c r="H41" s="376">
        <v>9</v>
      </c>
      <c r="I41" s="540">
        <f t="shared" si="1"/>
        <v>1.1111111111111112</v>
      </c>
      <c r="J41" s="330">
        <v>17697</v>
      </c>
      <c r="K41" s="383">
        <v>44773</v>
      </c>
      <c r="L41" s="330">
        <v>18</v>
      </c>
      <c r="M41" s="330">
        <v>18</v>
      </c>
      <c r="N41" s="380"/>
      <c r="O41" s="330"/>
      <c r="P41" s="330"/>
      <c r="Q41" s="330">
        <v>12</v>
      </c>
      <c r="R41" s="383">
        <v>8</v>
      </c>
      <c r="S41" s="383">
        <f t="shared" si="7"/>
        <v>0</v>
      </c>
      <c r="T41" s="383"/>
      <c r="U41" s="383">
        <f t="shared" si="8"/>
        <v>29848.666666666664</v>
      </c>
      <c r="V41" s="383">
        <f t="shared" si="9"/>
        <v>19899.111111111109</v>
      </c>
      <c r="W41" s="383">
        <f t="shared" si="2"/>
        <v>12436.944444444443</v>
      </c>
      <c r="X41" s="380">
        <v>0.1</v>
      </c>
      <c r="Y41" s="380">
        <v>0.2</v>
      </c>
      <c r="Z41" s="541">
        <v>0.125</v>
      </c>
      <c r="AA41" s="380">
        <v>0.25</v>
      </c>
      <c r="AB41" s="380">
        <v>0.15</v>
      </c>
      <c r="AC41" s="380">
        <v>0.3</v>
      </c>
      <c r="AD41" s="330"/>
      <c r="AE41" s="383"/>
      <c r="AF41" s="330"/>
      <c r="AG41" s="330"/>
      <c r="AH41" s="330"/>
      <c r="AI41" s="383"/>
      <c r="AJ41" s="383"/>
      <c r="AK41" s="330"/>
      <c r="AL41" s="383"/>
      <c r="AM41" s="383"/>
      <c r="AN41" s="383"/>
      <c r="AO41" s="383"/>
      <c r="AP41" s="383"/>
      <c r="AQ41" s="383">
        <f t="shared" si="3"/>
        <v>0</v>
      </c>
      <c r="AR41" s="383"/>
      <c r="AS41" s="383">
        <f t="shared" si="14"/>
        <v>0</v>
      </c>
      <c r="AT41" s="383"/>
      <c r="AU41" s="383">
        <f t="shared" si="5"/>
        <v>0</v>
      </c>
      <c r="AV41" s="383"/>
      <c r="AW41" s="330"/>
      <c r="AX41" s="383">
        <v>2655</v>
      </c>
      <c r="AY41" s="383"/>
      <c r="AZ41" s="383"/>
      <c r="BA41" s="531"/>
      <c r="BB41" s="383"/>
      <c r="BC41" s="383">
        <f t="shared" si="10"/>
        <v>0</v>
      </c>
      <c r="BD41" s="383">
        <f t="shared" si="11"/>
        <v>0</v>
      </c>
      <c r="BE41" s="531"/>
      <c r="BF41" s="329"/>
      <c r="BG41" s="330"/>
      <c r="BH41" s="383">
        <f t="shared" si="6"/>
        <v>64839.722222222219</v>
      </c>
      <c r="BI41" s="383">
        <f t="shared" si="12"/>
        <v>64839.722222222219</v>
      </c>
      <c r="BJ41" s="403">
        <f t="shared" si="13"/>
        <v>0</v>
      </c>
    </row>
    <row r="42" spans="1:62" ht="11.25" customHeight="1">
      <c r="A42" s="213">
        <v>17</v>
      </c>
      <c r="B42" s="330" t="s">
        <v>98</v>
      </c>
      <c r="C42" s="543" t="s">
        <v>361</v>
      </c>
      <c r="D42" s="330" t="s">
        <v>291</v>
      </c>
      <c r="E42" s="384" t="s">
        <v>87</v>
      </c>
      <c r="F42" s="330" t="s">
        <v>404</v>
      </c>
      <c r="G42" s="543"/>
      <c r="H42" s="376">
        <v>11</v>
      </c>
      <c r="I42" s="540">
        <f t="shared" si="1"/>
        <v>0.5</v>
      </c>
      <c r="J42" s="330">
        <v>17697</v>
      </c>
      <c r="K42" s="383">
        <v>37695</v>
      </c>
      <c r="L42" s="330">
        <v>18</v>
      </c>
      <c r="M42" s="330">
        <v>18</v>
      </c>
      <c r="N42" s="380"/>
      <c r="O42" s="330"/>
      <c r="P42" s="330"/>
      <c r="Q42" s="330">
        <v>4</v>
      </c>
      <c r="R42" s="383">
        <v>5</v>
      </c>
      <c r="S42" s="383">
        <f t="shared" si="7"/>
        <v>0</v>
      </c>
      <c r="T42" s="383"/>
      <c r="U42" s="383">
        <f t="shared" si="8"/>
        <v>8376.6666666666661</v>
      </c>
      <c r="V42" s="383">
        <f t="shared" si="9"/>
        <v>10470.833333333332</v>
      </c>
      <c r="W42" s="383">
        <f>(S42+U42+V42)*25%</f>
        <v>4711.875</v>
      </c>
      <c r="X42" s="380">
        <v>0.1</v>
      </c>
      <c r="Y42" s="380">
        <v>0.2</v>
      </c>
      <c r="Z42" s="541">
        <v>0.125</v>
      </c>
      <c r="AA42" s="380">
        <v>0.25</v>
      </c>
      <c r="AB42" s="380">
        <v>0.15</v>
      </c>
      <c r="AC42" s="380">
        <v>0.3</v>
      </c>
      <c r="AD42" s="330"/>
      <c r="AE42" s="383"/>
      <c r="AF42" s="330">
        <v>4</v>
      </c>
      <c r="AG42" s="330"/>
      <c r="AH42" s="330">
        <v>4</v>
      </c>
      <c r="AI42" s="383"/>
      <c r="AJ42" s="531"/>
      <c r="AK42" s="531"/>
      <c r="AL42" s="383">
        <f>J42*Z42/L42*AF42</f>
        <v>491.58333333333331</v>
      </c>
      <c r="AM42" s="383">
        <f>J42*AA42/L42*AG42</f>
        <v>0</v>
      </c>
      <c r="AN42" s="383">
        <f>J42*Z42/L42*AH42</f>
        <v>491.58333333333331</v>
      </c>
      <c r="AO42" s="383">
        <f>J42*Y42/L42*AI42</f>
        <v>0</v>
      </c>
      <c r="AP42" s="383"/>
      <c r="AQ42" s="383">
        <f t="shared" si="3"/>
        <v>0</v>
      </c>
      <c r="AR42" s="383"/>
      <c r="AS42" s="383">
        <f t="shared" si="14"/>
        <v>0</v>
      </c>
      <c r="AT42" s="383">
        <v>5</v>
      </c>
      <c r="AU42" s="383">
        <f t="shared" si="5"/>
        <v>1228.9583333333333</v>
      </c>
      <c r="AV42" s="383"/>
      <c r="AW42" s="330"/>
      <c r="AX42" s="383"/>
      <c r="AY42" s="330"/>
      <c r="AZ42" s="330"/>
      <c r="BA42" s="531"/>
      <c r="BB42" s="383"/>
      <c r="BC42" s="383">
        <f t="shared" si="10"/>
        <v>0</v>
      </c>
      <c r="BD42" s="383">
        <f t="shared" si="11"/>
        <v>0</v>
      </c>
      <c r="BE42" s="531"/>
      <c r="BF42" s="329"/>
      <c r="BG42" s="330"/>
      <c r="BH42" s="383">
        <f t="shared" si="6"/>
        <v>25771.499999999996</v>
      </c>
      <c r="BI42" s="383">
        <f t="shared" si="12"/>
        <v>25771.5</v>
      </c>
      <c r="BJ42" s="403">
        <f t="shared" si="13"/>
        <v>0</v>
      </c>
    </row>
    <row r="43" spans="1:62" ht="11.25" customHeight="1">
      <c r="A43" s="213">
        <v>18</v>
      </c>
      <c r="B43" s="330" t="s">
        <v>100</v>
      </c>
      <c r="C43" s="543" t="s">
        <v>361</v>
      </c>
      <c r="D43" s="330" t="s">
        <v>403</v>
      </c>
      <c r="E43" s="384" t="s">
        <v>88</v>
      </c>
      <c r="F43" s="330" t="s">
        <v>0</v>
      </c>
      <c r="G43" s="543" t="s">
        <v>300</v>
      </c>
      <c r="H43" s="376">
        <v>9</v>
      </c>
      <c r="I43" s="540">
        <f t="shared" si="1"/>
        <v>1.2222222222222223</v>
      </c>
      <c r="J43" s="330">
        <v>17697</v>
      </c>
      <c r="K43" s="383">
        <v>50083</v>
      </c>
      <c r="L43" s="330">
        <v>18</v>
      </c>
      <c r="M43" s="330">
        <v>18</v>
      </c>
      <c r="N43" s="380">
        <v>0.3</v>
      </c>
      <c r="O43" s="330"/>
      <c r="P43" s="330"/>
      <c r="Q43" s="330">
        <v>12</v>
      </c>
      <c r="R43" s="531">
        <v>10</v>
      </c>
      <c r="S43" s="383">
        <f t="shared" si="7"/>
        <v>0</v>
      </c>
      <c r="T43" s="383"/>
      <c r="U43" s="383">
        <f t="shared" si="8"/>
        <v>33388.666666666664</v>
      </c>
      <c r="V43" s="383">
        <f t="shared" si="9"/>
        <v>27823.888888888887</v>
      </c>
      <c r="W43" s="383">
        <f t="shared" si="2"/>
        <v>15303.138888888887</v>
      </c>
      <c r="X43" s="380">
        <v>0.1</v>
      </c>
      <c r="Y43" s="380">
        <v>0.2</v>
      </c>
      <c r="Z43" s="541">
        <v>0.125</v>
      </c>
      <c r="AA43" s="380">
        <v>0.25</v>
      </c>
      <c r="AB43" s="380">
        <v>0.15</v>
      </c>
      <c r="AC43" s="380">
        <v>0.3</v>
      </c>
      <c r="AD43" s="330"/>
      <c r="AE43" s="383"/>
      <c r="AF43" s="330">
        <v>12</v>
      </c>
      <c r="AG43" s="330"/>
      <c r="AH43" s="330">
        <v>8</v>
      </c>
      <c r="AI43" s="383"/>
      <c r="AJ43" s="383"/>
      <c r="AK43" s="330"/>
      <c r="AL43" s="383">
        <f>J43*Z43/L43*AF43</f>
        <v>1474.75</v>
      </c>
      <c r="AM43" s="383">
        <f>J43*AA43/L43*AG43</f>
        <v>0</v>
      </c>
      <c r="AN43" s="383">
        <f>J43*Z43/L43*AH43</f>
        <v>983.16666666666663</v>
      </c>
      <c r="AO43" s="383">
        <f>J43*Y43/L43*AI43</f>
        <v>0</v>
      </c>
      <c r="AP43" s="383"/>
      <c r="AQ43" s="383">
        <f t="shared" si="3"/>
        <v>0</v>
      </c>
      <c r="AR43" s="383">
        <v>12</v>
      </c>
      <c r="AS43" s="383">
        <f t="shared" si="14"/>
        <v>2949.5</v>
      </c>
      <c r="AT43" s="383">
        <v>4</v>
      </c>
      <c r="AU43" s="383">
        <f t="shared" si="5"/>
        <v>983.16666666666663</v>
      </c>
      <c r="AV43" s="383"/>
      <c r="AW43" s="330"/>
      <c r="AX43" s="383"/>
      <c r="AY43" s="383"/>
      <c r="AZ43" s="330"/>
      <c r="BA43" s="531"/>
      <c r="BB43" s="383">
        <f>17697*10%/18*22</f>
        <v>2162.9666666666667</v>
      </c>
      <c r="BC43" s="383">
        <f t="shared" si="10"/>
        <v>4325.9333333333325</v>
      </c>
      <c r="BD43" s="383">
        <f t="shared" si="11"/>
        <v>6488.9</v>
      </c>
      <c r="BE43" s="531"/>
      <c r="BF43" s="329"/>
      <c r="BG43" s="330"/>
      <c r="BH43" s="383">
        <f t="shared" si="6"/>
        <v>89395.177777777775</v>
      </c>
      <c r="BI43" s="383">
        <f t="shared" si="12"/>
        <v>87232.211111111101</v>
      </c>
      <c r="BJ43" s="403">
        <f t="shared" si="13"/>
        <v>2162.9666666666744</v>
      </c>
    </row>
    <row r="44" spans="1:62" ht="11.25" customHeight="1">
      <c r="A44" s="213">
        <v>19</v>
      </c>
      <c r="B44" s="330" t="s">
        <v>463</v>
      </c>
      <c r="C44" s="543" t="s">
        <v>445</v>
      </c>
      <c r="D44" s="330" t="s">
        <v>403</v>
      </c>
      <c r="E44" s="384" t="s">
        <v>90</v>
      </c>
      <c r="F44" s="330" t="s">
        <v>0</v>
      </c>
      <c r="G44" s="543" t="s">
        <v>300</v>
      </c>
      <c r="H44" s="376">
        <v>9</v>
      </c>
      <c r="I44" s="540">
        <f t="shared" si="1"/>
        <v>1.2222222222222223</v>
      </c>
      <c r="J44" s="330">
        <v>17697</v>
      </c>
      <c r="K44" s="383">
        <v>50083</v>
      </c>
      <c r="L44" s="330">
        <v>18</v>
      </c>
      <c r="M44" s="330">
        <v>18</v>
      </c>
      <c r="N44" s="380">
        <v>0.3</v>
      </c>
      <c r="O44" s="330"/>
      <c r="P44" s="330"/>
      <c r="Q44" s="330">
        <v>10</v>
      </c>
      <c r="R44" s="531">
        <v>12</v>
      </c>
      <c r="S44" s="383">
        <f t="shared" si="7"/>
        <v>0</v>
      </c>
      <c r="T44" s="383" t="e">
        <f>K44/24*#REF!</f>
        <v>#REF!</v>
      </c>
      <c r="U44" s="383">
        <f t="shared" si="8"/>
        <v>27823.888888888887</v>
      </c>
      <c r="V44" s="383">
        <f t="shared" si="9"/>
        <v>33388.666666666664</v>
      </c>
      <c r="W44" s="383">
        <f t="shared" si="2"/>
        <v>15303.138888888887</v>
      </c>
      <c r="X44" s="380">
        <v>0.1</v>
      </c>
      <c r="Y44" s="380">
        <v>0.2</v>
      </c>
      <c r="Z44" s="541">
        <v>0.125</v>
      </c>
      <c r="AA44" s="380">
        <v>0.25</v>
      </c>
      <c r="AB44" s="380">
        <v>0.15</v>
      </c>
      <c r="AC44" s="380">
        <v>0.3</v>
      </c>
      <c r="AD44" s="330"/>
      <c r="AE44" s="383"/>
      <c r="AF44" s="330">
        <v>10</v>
      </c>
      <c r="AG44" s="330"/>
      <c r="AH44" s="330">
        <v>11</v>
      </c>
      <c r="AI44" s="383"/>
      <c r="AJ44" s="383"/>
      <c r="AK44" s="531"/>
      <c r="AL44" s="383">
        <f>J44*Z44/L44*AF44</f>
        <v>1228.9583333333333</v>
      </c>
      <c r="AM44" s="383">
        <f>J44*AA44/L44*AG44</f>
        <v>0</v>
      </c>
      <c r="AN44" s="383">
        <f>J44*Z44/L44*AH44</f>
        <v>1351.8541666666665</v>
      </c>
      <c r="AO44" s="383">
        <f>J44*Y44/L44*AI44</f>
        <v>0</v>
      </c>
      <c r="AP44" s="383"/>
      <c r="AQ44" s="383">
        <f t="shared" si="3"/>
        <v>0</v>
      </c>
      <c r="AR44" s="383">
        <v>6</v>
      </c>
      <c r="AS44" s="383">
        <f t="shared" si="14"/>
        <v>1474.75</v>
      </c>
      <c r="AT44" s="383">
        <v>6</v>
      </c>
      <c r="AU44" s="383">
        <f t="shared" si="5"/>
        <v>1474.75</v>
      </c>
      <c r="AV44" s="531"/>
      <c r="AW44" s="531"/>
      <c r="AX44" s="383">
        <v>2655</v>
      </c>
      <c r="AY44" s="383"/>
      <c r="AZ44" s="330"/>
      <c r="BA44" s="330"/>
      <c r="BB44" s="383">
        <f>17697*10%/18*22</f>
        <v>2162.9666666666667</v>
      </c>
      <c r="BC44" s="383">
        <f t="shared" si="10"/>
        <v>4325.9333333333325</v>
      </c>
      <c r="BD44" s="383">
        <f t="shared" si="11"/>
        <v>6488.9</v>
      </c>
      <c r="BE44" s="531"/>
      <c r="BF44" s="329"/>
      <c r="BG44" s="330"/>
      <c r="BH44" s="383">
        <f t="shared" si="6"/>
        <v>91189.906944444432</v>
      </c>
      <c r="BI44" s="383">
        <f t="shared" si="12"/>
        <v>89026.940277777772</v>
      </c>
      <c r="BJ44" s="403">
        <f t="shared" si="13"/>
        <v>2162.9666666666599</v>
      </c>
    </row>
    <row r="45" spans="1:62" ht="11.25" customHeight="1">
      <c r="A45" s="213">
        <v>20</v>
      </c>
      <c r="B45" s="330" t="s">
        <v>147</v>
      </c>
      <c r="C45" s="543" t="s">
        <v>384</v>
      </c>
      <c r="D45" s="330" t="s">
        <v>403</v>
      </c>
      <c r="E45" s="384" t="s">
        <v>91</v>
      </c>
      <c r="F45" s="330" t="s">
        <v>418</v>
      </c>
      <c r="G45" s="543"/>
      <c r="H45" s="376">
        <v>9</v>
      </c>
      <c r="I45" s="540">
        <f t="shared" si="1"/>
        <v>0.33333333333333331</v>
      </c>
      <c r="J45" s="330">
        <v>17697</v>
      </c>
      <c r="K45" s="383">
        <v>43181</v>
      </c>
      <c r="L45" s="330">
        <v>18</v>
      </c>
      <c r="M45" s="330">
        <v>18</v>
      </c>
      <c r="N45" s="380"/>
      <c r="O45" s="330"/>
      <c r="P45" s="330"/>
      <c r="Q45" s="382"/>
      <c r="R45" s="383">
        <v>6</v>
      </c>
      <c r="S45" s="383">
        <f t="shared" si="7"/>
        <v>0</v>
      </c>
      <c r="T45" s="383"/>
      <c r="U45" s="383">
        <f t="shared" si="8"/>
        <v>0</v>
      </c>
      <c r="V45" s="383">
        <f t="shared" si="9"/>
        <v>14393.666666666666</v>
      </c>
      <c r="W45" s="383">
        <f t="shared" si="2"/>
        <v>3598.4166666666665</v>
      </c>
      <c r="X45" s="380">
        <v>0.1</v>
      </c>
      <c r="Y45" s="380">
        <v>0.2</v>
      </c>
      <c r="Z45" s="541">
        <v>0.125</v>
      </c>
      <c r="AA45" s="380">
        <v>0.25</v>
      </c>
      <c r="AB45" s="380">
        <v>0.15</v>
      </c>
      <c r="AC45" s="380">
        <v>0.3</v>
      </c>
      <c r="AD45" s="330"/>
      <c r="AE45" s="383"/>
      <c r="AF45" s="330"/>
      <c r="AG45" s="330"/>
      <c r="AH45" s="330"/>
      <c r="AI45" s="383"/>
      <c r="AJ45" s="383"/>
      <c r="AK45" s="330"/>
      <c r="AL45" s="383"/>
      <c r="AM45" s="383"/>
      <c r="AN45" s="383"/>
      <c r="AO45" s="383"/>
      <c r="AP45" s="383"/>
      <c r="AQ45" s="383">
        <f t="shared" si="3"/>
        <v>0</v>
      </c>
      <c r="AR45" s="383"/>
      <c r="AS45" s="383">
        <f t="shared" si="14"/>
        <v>0</v>
      </c>
      <c r="AT45" s="383"/>
      <c r="AU45" s="383">
        <f t="shared" si="5"/>
        <v>0</v>
      </c>
      <c r="AV45" s="531"/>
      <c r="AW45" s="383"/>
      <c r="AX45" s="383"/>
      <c r="AY45" s="383"/>
      <c r="AZ45" s="330"/>
      <c r="BA45" s="330"/>
      <c r="BB45" s="383"/>
      <c r="BC45" s="383">
        <f t="shared" si="10"/>
        <v>0</v>
      </c>
      <c r="BD45" s="383">
        <f t="shared" si="11"/>
        <v>0</v>
      </c>
      <c r="BE45" s="383"/>
      <c r="BF45" s="329"/>
      <c r="BG45" s="330"/>
      <c r="BH45" s="383">
        <f t="shared" si="6"/>
        <v>17992.083333333332</v>
      </c>
      <c r="BI45" s="383">
        <f t="shared" si="12"/>
        <v>17992.083333333332</v>
      </c>
      <c r="BJ45" s="403">
        <f t="shared" si="13"/>
        <v>0</v>
      </c>
    </row>
    <row r="46" spans="1:62" ht="11.25" customHeight="1">
      <c r="A46" s="213">
        <v>21</v>
      </c>
      <c r="B46" s="330" t="s">
        <v>465</v>
      </c>
      <c r="C46" s="330" t="s">
        <v>378</v>
      </c>
      <c r="D46" s="330" t="s">
        <v>291</v>
      </c>
      <c r="E46" s="546" t="s">
        <v>95</v>
      </c>
      <c r="F46" s="330" t="s">
        <v>418</v>
      </c>
      <c r="G46" s="381"/>
      <c r="H46" s="376">
        <v>11</v>
      </c>
      <c r="I46" s="540">
        <f t="shared" si="1"/>
        <v>0.72222222222222221</v>
      </c>
      <c r="J46" s="330">
        <v>17697</v>
      </c>
      <c r="K46" s="383">
        <v>36456</v>
      </c>
      <c r="L46" s="330">
        <v>18</v>
      </c>
      <c r="M46" s="330">
        <v>18</v>
      </c>
      <c r="N46" s="380"/>
      <c r="O46" s="330"/>
      <c r="P46" s="330">
        <v>3</v>
      </c>
      <c r="Q46" s="330">
        <v>7</v>
      </c>
      <c r="R46" s="531">
        <v>3</v>
      </c>
      <c r="S46" s="383">
        <f t="shared" si="7"/>
        <v>6076</v>
      </c>
      <c r="T46" s="383"/>
      <c r="U46" s="383">
        <f t="shared" si="8"/>
        <v>14177.333333333332</v>
      </c>
      <c r="V46" s="383">
        <f t="shared" si="9"/>
        <v>6076</v>
      </c>
      <c r="W46" s="383">
        <f t="shared" si="2"/>
        <v>6582.333333333333</v>
      </c>
      <c r="X46" s="380">
        <v>0.1</v>
      </c>
      <c r="Y46" s="380">
        <v>0.2</v>
      </c>
      <c r="Z46" s="541">
        <v>0.125</v>
      </c>
      <c r="AA46" s="380">
        <v>0.25</v>
      </c>
      <c r="AB46" s="380">
        <v>0.15</v>
      </c>
      <c r="AC46" s="380">
        <v>0.3</v>
      </c>
      <c r="AD46" s="330"/>
      <c r="AE46" s="330"/>
      <c r="AF46" s="330"/>
      <c r="AG46" s="330"/>
      <c r="AH46" s="330"/>
      <c r="AI46" s="330"/>
      <c r="AJ46" s="330"/>
      <c r="AK46" s="330"/>
      <c r="AL46" s="383"/>
      <c r="AM46" s="383"/>
      <c r="AN46" s="383"/>
      <c r="AO46" s="383"/>
      <c r="AP46" s="383"/>
      <c r="AQ46" s="383">
        <f t="shared" si="3"/>
        <v>0</v>
      </c>
      <c r="AR46" s="330"/>
      <c r="AS46" s="383">
        <f t="shared" si="14"/>
        <v>0</v>
      </c>
      <c r="AT46" s="330"/>
      <c r="AU46" s="383">
        <f t="shared" si="5"/>
        <v>0</v>
      </c>
      <c r="AV46" s="330"/>
      <c r="AW46" s="330"/>
      <c r="AX46" s="383"/>
      <c r="AY46" s="383"/>
      <c r="AZ46" s="330"/>
      <c r="BA46" s="330"/>
      <c r="BB46" s="383"/>
      <c r="BC46" s="383">
        <f t="shared" si="10"/>
        <v>0</v>
      </c>
      <c r="BD46" s="383">
        <f t="shared" si="11"/>
        <v>0</v>
      </c>
      <c r="BE46" s="330"/>
      <c r="BF46" s="329">
        <v>3539</v>
      </c>
      <c r="BG46" s="330">
        <f>17697*3.5%*17</f>
        <v>10529.715000000002</v>
      </c>
      <c r="BH46" s="383">
        <f t="shared" si="6"/>
        <v>46980.381666666668</v>
      </c>
      <c r="BI46" s="383">
        <f t="shared" si="12"/>
        <v>46980.381666666668</v>
      </c>
      <c r="BJ46" s="403">
        <f t="shared" si="13"/>
        <v>0</v>
      </c>
    </row>
    <row r="47" spans="1:62" ht="11.25" customHeight="1">
      <c r="A47" s="213">
        <v>22</v>
      </c>
      <c r="B47" s="330" t="s">
        <v>466</v>
      </c>
      <c r="C47" s="330" t="s">
        <v>384</v>
      </c>
      <c r="D47" s="330" t="s">
        <v>291</v>
      </c>
      <c r="E47" s="384" t="s">
        <v>96</v>
      </c>
      <c r="F47" s="330" t="s">
        <v>418</v>
      </c>
      <c r="G47" s="381"/>
      <c r="H47" s="376">
        <v>11</v>
      </c>
      <c r="I47" s="540">
        <f t="shared" si="1"/>
        <v>0.83333333333333337</v>
      </c>
      <c r="J47" s="330">
        <v>17697</v>
      </c>
      <c r="K47" s="383">
        <v>36456</v>
      </c>
      <c r="L47" s="330">
        <v>18</v>
      </c>
      <c r="M47" s="330">
        <v>18</v>
      </c>
      <c r="N47" s="380"/>
      <c r="O47" s="330"/>
      <c r="P47" s="330"/>
      <c r="Q47" s="330">
        <v>12</v>
      </c>
      <c r="R47" s="531">
        <v>3</v>
      </c>
      <c r="S47" s="383">
        <f t="shared" si="7"/>
        <v>0</v>
      </c>
      <c r="T47" s="383"/>
      <c r="U47" s="383">
        <f t="shared" si="8"/>
        <v>24304</v>
      </c>
      <c r="V47" s="383">
        <f t="shared" si="9"/>
        <v>6076</v>
      </c>
      <c r="W47" s="383">
        <f t="shared" si="2"/>
        <v>7595</v>
      </c>
      <c r="X47" s="380">
        <v>0.1</v>
      </c>
      <c r="Y47" s="380">
        <v>0.2</v>
      </c>
      <c r="Z47" s="541">
        <v>0.125</v>
      </c>
      <c r="AA47" s="380">
        <v>0.25</v>
      </c>
      <c r="AB47" s="380">
        <v>0.15</v>
      </c>
      <c r="AC47" s="380">
        <v>0.3</v>
      </c>
      <c r="AD47" s="330"/>
      <c r="AE47" s="330"/>
      <c r="AF47" s="330"/>
      <c r="AG47" s="330"/>
      <c r="AH47" s="330"/>
      <c r="AI47" s="330"/>
      <c r="AJ47" s="383"/>
      <c r="AK47" s="383"/>
      <c r="AL47" s="383"/>
      <c r="AM47" s="383"/>
      <c r="AN47" s="383"/>
      <c r="AO47" s="383"/>
      <c r="AP47" s="383"/>
      <c r="AQ47" s="383">
        <f t="shared" si="3"/>
        <v>0</v>
      </c>
      <c r="AR47" s="330"/>
      <c r="AS47" s="383">
        <f t="shared" si="14"/>
        <v>0</v>
      </c>
      <c r="AT47" s="330"/>
      <c r="AU47" s="383">
        <f t="shared" si="5"/>
        <v>0</v>
      </c>
      <c r="AV47" s="330"/>
      <c r="AW47" s="330"/>
      <c r="AX47" s="383">
        <v>2655</v>
      </c>
      <c r="AY47" s="383"/>
      <c r="AZ47" s="330"/>
      <c r="BA47" s="330"/>
      <c r="BB47" s="383"/>
      <c r="BC47" s="383">
        <f t="shared" si="10"/>
        <v>0</v>
      </c>
      <c r="BD47" s="383">
        <f t="shared" si="11"/>
        <v>0</v>
      </c>
      <c r="BE47" s="330">
        <v>3982</v>
      </c>
      <c r="BF47" s="329"/>
      <c r="BG47" s="330"/>
      <c r="BH47" s="383">
        <f t="shared" si="6"/>
        <v>44612</v>
      </c>
      <c r="BI47" s="383">
        <f t="shared" si="12"/>
        <v>44612</v>
      </c>
      <c r="BJ47" s="403">
        <f t="shared" si="13"/>
        <v>0</v>
      </c>
    </row>
    <row r="48" spans="1:62" ht="11.25" customHeight="1">
      <c r="A48" s="213">
        <v>23</v>
      </c>
      <c r="B48" s="330" t="s">
        <v>467</v>
      </c>
      <c r="C48" s="330" t="s">
        <v>384</v>
      </c>
      <c r="D48" s="330" t="s">
        <v>291</v>
      </c>
      <c r="E48" s="384" t="s">
        <v>99</v>
      </c>
      <c r="F48" s="330" t="s">
        <v>418</v>
      </c>
      <c r="G48" s="381"/>
      <c r="H48" s="376">
        <v>11</v>
      </c>
      <c r="I48" s="540">
        <f t="shared" si="1"/>
        <v>0.83333333333333326</v>
      </c>
      <c r="J48" s="330">
        <v>17697</v>
      </c>
      <c r="K48" s="383">
        <v>35748</v>
      </c>
      <c r="L48" s="330">
        <v>18</v>
      </c>
      <c r="M48" s="330">
        <v>18</v>
      </c>
      <c r="N48" s="380"/>
      <c r="O48" s="330"/>
      <c r="P48" s="330">
        <v>9</v>
      </c>
      <c r="Q48" s="330">
        <v>6</v>
      </c>
      <c r="R48" s="531"/>
      <c r="S48" s="383">
        <f t="shared" si="7"/>
        <v>17874</v>
      </c>
      <c r="T48" s="383"/>
      <c r="U48" s="383">
        <f t="shared" si="8"/>
        <v>11916</v>
      </c>
      <c r="V48" s="383">
        <f t="shared" si="9"/>
        <v>0</v>
      </c>
      <c r="W48" s="383">
        <f t="shared" si="2"/>
        <v>7447.5</v>
      </c>
      <c r="X48" s="380">
        <v>0.1</v>
      </c>
      <c r="Y48" s="380">
        <v>0.2</v>
      </c>
      <c r="Z48" s="541">
        <v>0.125</v>
      </c>
      <c r="AA48" s="380">
        <v>0.25</v>
      </c>
      <c r="AB48" s="380">
        <v>0.15</v>
      </c>
      <c r="AC48" s="380">
        <v>0.3</v>
      </c>
      <c r="AD48" s="330"/>
      <c r="AE48" s="330"/>
      <c r="AF48" s="330"/>
      <c r="AG48" s="330"/>
      <c r="AH48" s="330"/>
      <c r="AI48" s="330"/>
      <c r="AJ48" s="531"/>
      <c r="AK48" s="330"/>
      <c r="AL48" s="383"/>
      <c r="AM48" s="383"/>
      <c r="AN48" s="383"/>
      <c r="AO48" s="383"/>
      <c r="AP48" s="383"/>
      <c r="AQ48" s="383">
        <f t="shared" si="3"/>
        <v>0</v>
      </c>
      <c r="AR48" s="330"/>
      <c r="AS48" s="383">
        <f t="shared" si="14"/>
        <v>0</v>
      </c>
      <c r="AT48" s="383"/>
      <c r="AU48" s="383">
        <f t="shared" si="5"/>
        <v>0</v>
      </c>
      <c r="AV48" s="531"/>
      <c r="AW48" s="330"/>
      <c r="AX48" s="383"/>
      <c r="AY48" s="330"/>
      <c r="AZ48" s="330"/>
      <c r="BA48" s="330"/>
      <c r="BB48" s="383"/>
      <c r="BC48" s="383">
        <f t="shared" si="10"/>
        <v>0</v>
      </c>
      <c r="BD48" s="383">
        <f t="shared" si="11"/>
        <v>0</v>
      </c>
      <c r="BE48" s="330">
        <v>3982</v>
      </c>
      <c r="BF48" s="392"/>
      <c r="BG48" s="330"/>
      <c r="BH48" s="383">
        <f t="shared" si="6"/>
        <v>41219.5</v>
      </c>
      <c r="BI48" s="383">
        <f t="shared" si="12"/>
        <v>41219.5</v>
      </c>
      <c r="BJ48" s="403">
        <f t="shared" si="13"/>
        <v>0</v>
      </c>
    </row>
    <row r="49" spans="1:81" ht="11.25" customHeight="1">
      <c r="A49" s="213">
        <v>24</v>
      </c>
      <c r="B49" s="330" t="s">
        <v>468</v>
      </c>
      <c r="C49" s="330" t="s">
        <v>382</v>
      </c>
      <c r="D49" s="330" t="s">
        <v>403</v>
      </c>
      <c r="E49" s="384" t="s">
        <v>99</v>
      </c>
      <c r="F49" s="330" t="s">
        <v>299</v>
      </c>
      <c r="G49" s="381"/>
      <c r="H49" s="376">
        <v>9</v>
      </c>
      <c r="I49" s="540">
        <f t="shared" si="1"/>
        <v>0.61111111111111116</v>
      </c>
      <c r="J49" s="330">
        <v>17697</v>
      </c>
      <c r="K49" s="383">
        <v>44066</v>
      </c>
      <c r="L49" s="330">
        <v>18</v>
      </c>
      <c r="M49" s="330">
        <v>18</v>
      </c>
      <c r="N49" s="380"/>
      <c r="O49" s="330"/>
      <c r="P49" s="330"/>
      <c r="Q49" s="330">
        <v>8</v>
      </c>
      <c r="R49" s="531">
        <v>3</v>
      </c>
      <c r="S49" s="383">
        <f t="shared" si="7"/>
        <v>0</v>
      </c>
      <c r="T49" s="383"/>
      <c r="U49" s="383">
        <f t="shared" si="8"/>
        <v>19584.888888888891</v>
      </c>
      <c r="V49" s="383">
        <f t="shared" si="9"/>
        <v>7344.3333333333339</v>
      </c>
      <c r="W49" s="383">
        <f>(S49+U49+V49)*25%</f>
        <v>6732.3055555555566</v>
      </c>
      <c r="X49" s="380">
        <v>0.1</v>
      </c>
      <c r="Y49" s="380">
        <v>0.2</v>
      </c>
      <c r="Z49" s="541">
        <v>0.125</v>
      </c>
      <c r="AA49" s="380">
        <v>0.25</v>
      </c>
      <c r="AB49" s="380">
        <v>0.15</v>
      </c>
      <c r="AC49" s="380">
        <v>0.3</v>
      </c>
      <c r="AD49" s="330"/>
      <c r="AE49" s="330"/>
      <c r="AF49" s="330"/>
      <c r="AG49" s="330"/>
      <c r="AH49" s="330"/>
      <c r="AI49" s="330"/>
      <c r="AJ49" s="531"/>
      <c r="AK49" s="330"/>
      <c r="AL49" s="383"/>
      <c r="AM49" s="383"/>
      <c r="AN49" s="383"/>
      <c r="AO49" s="383"/>
      <c r="AP49" s="383"/>
      <c r="AQ49" s="383">
        <f t="shared" si="3"/>
        <v>0</v>
      </c>
      <c r="AR49" s="330"/>
      <c r="AS49" s="383">
        <f t="shared" si="14"/>
        <v>0</v>
      </c>
      <c r="AT49" s="383"/>
      <c r="AU49" s="383">
        <f t="shared" si="5"/>
        <v>0</v>
      </c>
      <c r="AV49" s="531"/>
      <c r="AW49" s="330"/>
      <c r="AX49" s="383"/>
      <c r="AY49" s="330"/>
      <c r="AZ49" s="330"/>
      <c r="BA49" s="330"/>
      <c r="BB49" s="383"/>
      <c r="BC49" s="383">
        <f t="shared" si="10"/>
        <v>0</v>
      </c>
      <c r="BD49" s="383">
        <f t="shared" si="11"/>
        <v>0</v>
      </c>
      <c r="BE49" s="330"/>
      <c r="BF49" s="329">
        <v>3539</v>
      </c>
      <c r="BG49" s="330"/>
      <c r="BH49" s="383">
        <f t="shared" si="6"/>
        <v>37200.527777777781</v>
      </c>
      <c r="BI49" s="383">
        <f t="shared" si="12"/>
        <v>37200.527777777781</v>
      </c>
      <c r="BJ49" s="403">
        <f t="shared" si="13"/>
        <v>0</v>
      </c>
    </row>
    <row r="50" spans="1:81" ht="11.25" customHeight="1">
      <c r="A50" s="213">
        <v>25</v>
      </c>
      <c r="B50" s="330" t="s">
        <v>470</v>
      </c>
      <c r="C50" s="330" t="s">
        <v>194</v>
      </c>
      <c r="D50" s="330" t="s">
        <v>403</v>
      </c>
      <c r="E50" s="330" t="s">
        <v>99</v>
      </c>
      <c r="F50" s="330" t="s">
        <v>146</v>
      </c>
      <c r="G50" s="381" t="s">
        <v>374</v>
      </c>
      <c r="H50" s="376">
        <v>11</v>
      </c>
      <c r="I50" s="540">
        <f t="shared" si="1"/>
        <v>1.1111111111111112</v>
      </c>
      <c r="J50" s="330">
        <v>17697</v>
      </c>
      <c r="K50" s="383">
        <v>50967</v>
      </c>
      <c r="L50" s="330">
        <v>18</v>
      </c>
      <c r="M50" s="330">
        <v>18</v>
      </c>
      <c r="N50" s="380">
        <v>0.5</v>
      </c>
      <c r="O50" s="330"/>
      <c r="P50" s="330">
        <v>20</v>
      </c>
      <c r="Q50" s="330"/>
      <c r="R50" s="531"/>
      <c r="S50" s="383">
        <f t="shared" si="7"/>
        <v>56630</v>
      </c>
      <c r="T50" s="383"/>
      <c r="U50" s="383">
        <f t="shared" si="8"/>
        <v>0</v>
      </c>
      <c r="V50" s="383">
        <f t="shared" si="9"/>
        <v>0</v>
      </c>
      <c r="W50" s="383">
        <f t="shared" si="2"/>
        <v>14157.5</v>
      </c>
      <c r="X50" s="380">
        <v>0.1</v>
      </c>
      <c r="Y50" s="380">
        <v>0.2</v>
      </c>
      <c r="Z50" s="541">
        <v>0.125</v>
      </c>
      <c r="AA50" s="380">
        <v>0.25</v>
      </c>
      <c r="AB50" s="380">
        <v>0.15</v>
      </c>
      <c r="AC50" s="380">
        <v>0.3</v>
      </c>
      <c r="AD50" s="330">
        <v>15</v>
      </c>
      <c r="AE50" s="330"/>
      <c r="AF50" s="330"/>
      <c r="AG50" s="330"/>
      <c r="AH50" s="330"/>
      <c r="AI50" s="330"/>
      <c r="AJ50" s="383">
        <f>17697*10%/18*15</f>
        <v>1474.75</v>
      </c>
      <c r="AK50" s="383"/>
      <c r="AL50" s="383"/>
      <c r="AM50" s="383"/>
      <c r="AN50" s="383"/>
      <c r="AO50" s="383"/>
      <c r="AP50" s="383"/>
      <c r="AQ50" s="383">
        <f>J50*AA50/M50*AP50</f>
        <v>0</v>
      </c>
      <c r="AR50" s="330"/>
      <c r="AS50" s="383">
        <f t="shared" si="14"/>
        <v>0</v>
      </c>
      <c r="AT50" s="383"/>
      <c r="AU50" s="383">
        <f t="shared" si="5"/>
        <v>0</v>
      </c>
      <c r="AV50" s="531">
        <v>2212</v>
      </c>
      <c r="AW50" s="330"/>
      <c r="AX50" s="383"/>
      <c r="AY50" s="330"/>
      <c r="AZ50" s="330"/>
      <c r="BA50" s="330"/>
      <c r="BB50" s="383">
        <f>17697*15%/18*20</f>
        <v>2949.5</v>
      </c>
      <c r="BC50" s="383">
        <f t="shared" si="10"/>
        <v>6882.1666666666661</v>
      </c>
      <c r="BD50" s="383">
        <f t="shared" si="11"/>
        <v>9831.6666666666661</v>
      </c>
      <c r="BE50" s="330"/>
      <c r="BF50" s="329">
        <v>3539</v>
      </c>
      <c r="BG50" s="330"/>
      <c r="BH50" s="383">
        <f t="shared" si="6"/>
        <v>87844.916666666672</v>
      </c>
      <c r="BI50" s="383">
        <f t="shared" si="12"/>
        <v>84895.416666666657</v>
      </c>
      <c r="BJ50" s="403">
        <f t="shared" si="13"/>
        <v>2949.5000000000146</v>
      </c>
    </row>
    <row r="51" spans="1:81" ht="11.25" customHeight="1">
      <c r="A51" s="213"/>
      <c r="B51" s="330" t="s">
        <v>301</v>
      </c>
      <c r="C51" s="330"/>
      <c r="D51" s="330"/>
      <c r="E51" s="384"/>
      <c r="F51" s="330"/>
      <c r="G51" s="381" t="s">
        <v>302</v>
      </c>
      <c r="H51" s="376" t="s">
        <v>302</v>
      </c>
      <c r="I51" s="382">
        <f>SUM(I20:I50)</f>
        <v>22.527777777777771</v>
      </c>
      <c r="J51" s="330" t="s">
        <v>302</v>
      </c>
      <c r="K51" s="330" t="s">
        <v>302</v>
      </c>
      <c r="L51" s="330" t="s">
        <v>302</v>
      </c>
      <c r="M51" s="330">
        <v>18</v>
      </c>
      <c r="N51" s="380"/>
      <c r="O51" s="330">
        <f>SUM(O20:O47)</f>
        <v>0</v>
      </c>
      <c r="P51" s="383">
        <f t="shared" ref="P51:AJ51" si="15">SUM(P20:P50)</f>
        <v>83</v>
      </c>
      <c r="Q51" s="383">
        <f t="shared" si="15"/>
        <v>211.5</v>
      </c>
      <c r="R51" s="383">
        <f t="shared" si="15"/>
        <v>111</v>
      </c>
      <c r="S51" s="383">
        <f t="shared" si="15"/>
        <v>214300.61111111112</v>
      </c>
      <c r="T51" s="383" t="e">
        <f t="shared" si="15"/>
        <v>#REF!</v>
      </c>
      <c r="U51" s="383">
        <f t="shared" si="15"/>
        <v>557440.75</v>
      </c>
      <c r="V51" s="383">
        <f t="shared" si="15"/>
        <v>295097.77777777775</v>
      </c>
      <c r="W51" s="383">
        <f t="shared" si="15"/>
        <v>266709.78472222213</v>
      </c>
      <c r="X51" s="383">
        <f t="shared" si="15"/>
        <v>2.9000000000000012</v>
      </c>
      <c r="Y51" s="383">
        <f t="shared" si="15"/>
        <v>5.8000000000000025</v>
      </c>
      <c r="Z51" s="383">
        <f t="shared" si="15"/>
        <v>3.625</v>
      </c>
      <c r="AA51" s="383">
        <f t="shared" si="15"/>
        <v>7.25</v>
      </c>
      <c r="AB51" s="383">
        <f t="shared" si="15"/>
        <v>4.3499999999999996</v>
      </c>
      <c r="AC51" s="383">
        <f t="shared" si="15"/>
        <v>8.6999999999999993</v>
      </c>
      <c r="AD51" s="383">
        <f t="shared" si="15"/>
        <v>51</v>
      </c>
      <c r="AE51" s="383">
        <f t="shared" si="15"/>
        <v>0</v>
      </c>
      <c r="AF51" s="383">
        <f t="shared" si="15"/>
        <v>114.5</v>
      </c>
      <c r="AG51" s="383">
        <f t="shared" si="15"/>
        <v>0</v>
      </c>
      <c r="AH51" s="383">
        <f t="shared" si="15"/>
        <v>53</v>
      </c>
      <c r="AI51" s="383">
        <f t="shared" si="15"/>
        <v>0</v>
      </c>
      <c r="AJ51" s="383">
        <f t="shared" si="15"/>
        <v>5112.8833333333332</v>
      </c>
      <c r="AK51" s="383"/>
      <c r="AL51" s="383">
        <f t="shared" ref="AL51:BJ51" si="16">SUM(AL20:AL50)</f>
        <v>12486.216666666667</v>
      </c>
      <c r="AM51" s="383">
        <f t="shared" si="16"/>
        <v>0</v>
      </c>
      <c r="AN51" s="383">
        <f t="shared" si="16"/>
        <v>5899</v>
      </c>
      <c r="AO51" s="383">
        <f t="shared" si="16"/>
        <v>0</v>
      </c>
      <c r="AP51" s="383">
        <f t="shared" si="16"/>
        <v>7</v>
      </c>
      <c r="AQ51" s="553">
        <f t="shared" si="16"/>
        <v>1720</v>
      </c>
      <c r="AR51" s="383">
        <f t="shared" si="16"/>
        <v>24</v>
      </c>
      <c r="AS51" s="383">
        <f t="shared" si="16"/>
        <v>5899</v>
      </c>
      <c r="AT51" s="383">
        <f t="shared" si="16"/>
        <v>15</v>
      </c>
      <c r="AU51" s="383">
        <f t="shared" si="16"/>
        <v>3686.875</v>
      </c>
      <c r="AV51" s="383">
        <f t="shared" si="16"/>
        <v>6636</v>
      </c>
      <c r="AW51" s="383">
        <f t="shared" si="16"/>
        <v>0</v>
      </c>
      <c r="AX51" s="383">
        <f t="shared" si="16"/>
        <v>15930</v>
      </c>
      <c r="AY51" s="383">
        <f t="shared" si="16"/>
        <v>0</v>
      </c>
      <c r="AZ51" s="383">
        <f t="shared" si="16"/>
        <v>7965</v>
      </c>
      <c r="BA51" s="383">
        <f t="shared" si="16"/>
        <v>0</v>
      </c>
      <c r="BB51" s="383">
        <f t="shared" si="16"/>
        <v>38343.5</v>
      </c>
      <c r="BC51" s="383">
        <f t="shared" si="16"/>
        <v>86076.241666666669</v>
      </c>
      <c r="BD51" s="383">
        <f t="shared" si="16"/>
        <v>124419.74166666667</v>
      </c>
      <c r="BE51" s="383">
        <f t="shared" si="16"/>
        <v>11503</v>
      </c>
      <c r="BF51" s="383">
        <f t="shared" si="16"/>
        <v>24773</v>
      </c>
      <c r="BG51" s="383">
        <f t="shared" si="16"/>
        <v>10529.715000000002</v>
      </c>
      <c r="BH51" s="383">
        <f t="shared" si="16"/>
        <v>1570109.3552777776</v>
      </c>
      <c r="BI51" s="383">
        <f t="shared" si="16"/>
        <v>1531765.8552777779</v>
      </c>
      <c r="BJ51" s="403">
        <f t="shared" si="16"/>
        <v>38343.500000000015</v>
      </c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</row>
    <row r="52" spans="1:81" ht="12" hidden="1">
      <c r="B52" s="353"/>
      <c r="C52" s="353"/>
      <c r="D52" s="353"/>
      <c r="E52" s="386"/>
      <c r="F52" s="353"/>
      <c r="G52" s="353"/>
      <c r="H52" s="354"/>
      <c r="I52" s="330">
        <f>(P52/20)+(Q52+R52)/18</f>
        <v>6</v>
      </c>
      <c r="J52" s="353"/>
      <c r="K52" s="353"/>
      <c r="L52" s="353"/>
      <c r="M52" s="381">
        <v>20</v>
      </c>
      <c r="N52" s="387"/>
      <c r="O52" s="353"/>
      <c r="P52" s="353"/>
      <c r="Q52" s="353"/>
      <c r="R52" s="388">
        <f>SUM(R20:R47)</f>
        <v>108</v>
      </c>
      <c r="S52" s="383">
        <f>K52/M52*P52</f>
        <v>0</v>
      </c>
      <c r="T52" s="389"/>
      <c r="U52" s="388">
        <f>SUM(U20:U47)</f>
        <v>525939.86111111112</v>
      </c>
      <c r="V52" s="383" t="e">
        <f>K52/L52*R52</f>
        <v>#DIV/0!</v>
      </c>
      <c r="W52" s="383" t="e">
        <f>(S52+U52+V52)*25%</f>
        <v>#DIV/0!</v>
      </c>
      <c r="X52" s="388">
        <f>SUM(X20:X47)</f>
        <v>2.600000000000001</v>
      </c>
      <c r="Y52" s="380">
        <v>0.1</v>
      </c>
      <c r="Z52" s="390">
        <v>0.125</v>
      </c>
      <c r="AA52" s="388">
        <f>SUM(AA20:AA47)</f>
        <v>6.5</v>
      </c>
      <c r="AB52" s="379">
        <v>0.15</v>
      </c>
      <c r="AC52" s="379">
        <v>0.3</v>
      </c>
      <c r="AD52" s="388">
        <f t="shared" ref="AD52:AR52" si="17">SUM(AD20:AD47)</f>
        <v>36</v>
      </c>
      <c r="AE52" s="388">
        <f t="shared" si="17"/>
        <v>0</v>
      </c>
      <c r="AF52" s="388">
        <f t="shared" si="17"/>
        <v>114.5</v>
      </c>
      <c r="AG52" s="388">
        <f t="shared" si="17"/>
        <v>0</v>
      </c>
      <c r="AH52" s="388">
        <f t="shared" si="17"/>
        <v>53</v>
      </c>
      <c r="AI52" s="388">
        <f t="shared" si="17"/>
        <v>0</v>
      </c>
      <c r="AJ52" s="388">
        <f t="shared" si="17"/>
        <v>3638.1333333333332</v>
      </c>
      <c r="AK52" s="388">
        <f t="shared" si="17"/>
        <v>0</v>
      </c>
      <c r="AL52" s="388">
        <f t="shared" si="17"/>
        <v>12486.216666666667</v>
      </c>
      <c r="AM52" s="388">
        <f t="shared" si="17"/>
        <v>0</v>
      </c>
      <c r="AN52" s="388">
        <f t="shared" si="17"/>
        <v>5899</v>
      </c>
      <c r="AO52" s="388">
        <f t="shared" si="17"/>
        <v>0</v>
      </c>
      <c r="AP52" s="388">
        <f t="shared" si="17"/>
        <v>7</v>
      </c>
      <c r="AQ52" s="388">
        <f t="shared" si="17"/>
        <v>1720</v>
      </c>
      <c r="AR52" s="388">
        <f t="shared" si="17"/>
        <v>24</v>
      </c>
      <c r="AS52" s="353"/>
      <c r="AT52" s="353"/>
      <c r="AU52" s="353"/>
      <c r="BH52" s="225">
        <f>SUM(BH20:BH51)</f>
        <v>3140218.7105555553</v>
      </c>
      <c r="BI52" s="225">
        <f>SUM(BI20:BI51)</f>
        <v>3063531.7105555558</v>
      </c>
    </row>
    <row r="53" spans="1:81" ht="12" hidden="1">
      <c r="B53" s="353"/>
      <c r="C53" s="353"/>
      <c r="D53" s="353"/>
      <c r="E53" s="386"/>
      <c r="F53" s="353"/>
      <c r="G53" s="353"/>
      <c r="H53" s="354"/>
      <c r="I53" s="385"/>
      <c r="J53" s="353"/>
      <c r="K53" s="353"/>
      <c r="L53" s="353"/>
      <c r="M53" s="385"/>
      <c r="N53" s="387"/>
      <c r="O53" s="353"/>
      <c r="P53" s="353"/>
      <c r="Q53" s="353"/>
      <c r="R53" s="388"/>
      <c r="S53" s="389"/>
      <c r="T53" s="389"/>
      <c r="U53" s="388"/>
      <c r="V53" s="389"/>
      <c r="W53" s="389"/>
      <c r="X53" s="388"/>
      <c r="Y53" s="387"/>
      <c r="Z53" s="391"/>
      <c r="AA53" s="388"/>
      <c r="AB53" s="387"/>
      <c r="AC53" s="387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53"/>
      <c r="AT53" s="353"/>
      <c r="AU53" s="353"/>
      <c r="BH53" s="225"/>
      <c r="BI53" s="225"/>
    </row>
    <row r="54" spans="1:81" ht="10.5" customHeight="1">
      <c r="B54" s="353"/>
      <c r="C54" s="353"/>
      <c r="D54" s="353"/>
      <c r="E54" s="386"/>
      <c r="F54" s="353"/>
      <c r="G54" s="353"/>
      <c r="H54" s="354"/>
      <c r="I54" s="353"/>
      <c r="J54" s="353"/>
      <c r="K54" s="353"/>
      <c r="L54" s="353"/>
      <c r="M54" s="353"/>
      <c r="N54" s="355"/>
      <c r="O54" s="353"/>
      <c r="P54" s="353"/>
      <c r="Q54" s="353"/>
      <c r="R54" s="388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226" t="s">
        <v>102</v>
      </c>
      <c r="AM54" s="226"/>
      <c r="AN54" s="226"/>
      <c r="AO54" s="226"/>
      <c r="AP54" s="226"/>
      <c r="AQ54" s="226"/>
      <c r="AR54" s="226"/>
      <c r="AS54" s="226"/>
      <c r="AT54" s="226" t="s">
        <v>103</v>
      </c>
      <c r="AU54" s="226"/>
      <c r="AV54" s="335"/>
      <c r="AW54" s="335"/>
      <c r="BH54" s="225"/>
    </row>
    <row r="55" spans="1:81" ht="9.75" customHeight="1">
      <c r="AL55" s="226" t="s">
        <v>104</v>
      </c>
      <c r="AM55" s="226"/>
      <c r="AN55" s="226"/>
      <c r="AO55" s="226"/>
      <c r="AP55" s="226"/>
      <c r="AQ55" s="226"/>
      <c r="AR55" s="226"/>
      <c r="AS55" s="226"/>
      <c r="AT55" s="226" t="s">
        <v>448</v>
      </c>
      <c r="AU55" s="226"/>
      <c r="AV55" s="335"/>
      <c r="AW55" s="335"/>
    </row>
    <row r="56" spans="1:81" ht="12.75">
      <c r="AL56" s="226" t="s">
        <v>407</v>
      </c>
      <c r="AM56" s="335"/>
      <c r="AN56" s="335"/>
      <c r="AO56" s="335"/>
      <c r="AP56" s="335"/>
      <c r="AQ56" s="335"/>
      <c r="AR56" s="335"/>
      <c r="AS56" s="335"/>
      <c r="AT56" s="226" t="s">
        <v>236</v>
      </c>
      <c r="AU56" s="335"/>
      <c r="AV56" s="335"/>
      <c r="AW56" s="335"/>
    </row>
  </sheetData>
  <mergeCells count="41">
    <mergeCell ref="AY14:BF14"/>
    <mergeCell ref="AY15:BF15"/>
    <mergeCell ref="AP18:AQ18"/>
    <mergeCell ref="AT18:AU18"/>
    <mergeCell ref="AV16:BA17"/>
    <mergeCell ref="AV18:AW18"/>
    <mergeCell ref="AY9:BF9"/>
    <mergeCell ref="AY10:BF10"/>
    <mergeCell ref="AY11:BF11"/>
    <mergeCell ref="AY12:BF12"/>
    <mergeCell ref="AY13:BF13"/>
    <mergeCell ref="BI16:BI19"/>
    <mergeCell ref="I16:I18"/>
    <mergeCell ref="AF18:AG18"/>
    <mergeCell ref="AH18:AI18"/>
    <mergeCell ref="O16:R17"/>
    <mergeCell ref="S16:V16"/>
    <mergeCell ref="W16:W19"/>
    <mergeCell ref="X16:AA16"/>
    <mergeCell ref="BH16:BH19"/>
    <mergeCell ref="BG16:BG18"/>
    <mergeCell ref="AJ18:AK18"/>
    <mergeCell ref="AL18:AM18"/>
    <mergeCell ref="AZ18:BA18"/>
    <mergeCell ref="BE16:BE19"/>
    <mergeCell ref="BF16:BF19"/>
    <mergeCell ref="AJ16:AO17"/>
    <mergeCell ref="U17:U19"/>
    <mergeCell ref="V17:V19"/>
    <mergeCell ref="AR18:AS18"/>
    <mergeCell ref="BD16:BD19"/>
    <mergeCell ref="C16:C18"/>
    <mergeCell ref="D16:D18"/>
    <mergeCell ref="E16:E18"/>
    <mergeCell ref="H16:H18"/>
    <mergeCell ref="N16:N19"/>
    <mergeCell ref="AD18:AE18"/>
    <mergeCell ref="AD16:AI17"/>
    <mergeCell ref="S17:S19"/>
    <mergeCell ref="AX18:AY18"/>
    <mergeCell ref="AN18:AO18"/>
  </mergeCells>
  <phoneticPr fontId="29" type="noConversion"/>
  <pageMargins left="0.75" right="0.6" top="0.27" bottom="0.28000000000000003" header="0.5" footer="0.5"/>
  <pageSetup paperSize="9" scale="87" orientation="landscape" r:id="rId1"/>
  <headerFooter alignWithMargins="0"/>
  <colBreaks count="2" manualBreakCount="2">
    <brk id="32" max="1048575" man="1"/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C38"/>
  <sheetViews>
    <sheetView view="pageBreakPreview" zoomScale="110" zoomScaleNormal="70" zoomScaleSheetLayoutView="110" workbookViewId="0">
      <selection activeCell="C1" sqref="C1:C1048576"/>
    </sheetView>
  </sheetViews>
  <sheetFormatPr defaultRowHeight="12.75"/>
  <cols>
    <col min="1" max="1" width="2.85546875" style="11" customWidth="1"/>
    <col min="2" max="2" width="3.42578125" style="11" customWidth="1"/>
    <col min="3" max="3" width="11.140625" style="11" customWidth="1"/>
    <col min="4" max="4" width="9.140625" style="11"/>
    <col min="5" max="5" width="10.7109375" style="11" hidden="1" customWidth="1"/>
    <col min="6" max="6" width="6.7109375" style="11" hidden="1" customWidth="1"/>
    <col min="7" max="7" width="10.140625" style="11" customWidth="1"/>
    <col min="8" max="8" width="8" style="11" customWidth="1"/>
    <col min="9" max="9" width="5.85546875" style="11" hidden="1" customWidth="1"/>
    <col min="10" max="10" width="6.140625" style="11" customWidth="1"/>
    <col min="11" max="11" width="9" style="37" customWidth="1"/>
    <col min="12" max="12" width="9.42578125" style="11" customWidth="1"/>
    <col min="13" max="14" width="3.28515625" style="11" hidden="1" customWidth="1"/>
    <col min="15" max="15" width="4.85546875" style="11" hidden="1" customWidth="1"/>
    <col min="16" max="16" width="5" style="28" hidden="1" customWidth="1"/>
    <col min="17" max="17" width="6.7109375" style="30" customWidth="1"/>
    <col min="18" max="18" width="9.140625" style="28" customWidth="1"/>
    <col min="19" max="19" width="7.7109375" style="28" customWidth="1"/>
    <col min="20" max="20" width="10.140625" style="28" customWidth="1"/>
    <col min="21" max="21" width="6.5703125" style="28" hidden="1" customWidth="1"/>
    <col min="22" max="22" width="8.7109375" style="28" customWidth="1"/>
    <col min="23" max="23" width="3.42578125" style="12" customWidth="1"/>
    <col min="24" max="24" width="4.85546875" style="12" customWidth="1"/>
    <col min="25" max="29" width="9.140625" style="12"/>
    <col min="30" max="16384" width="9.140625" style="11"/>
  </cols>
  <sheetData>
    <row r="2" spans="2:29" ht="13.5" customHeight="1">
      <c r="F2" s="8"/>
      <c r="G2" s="8"/>
      <c r="P2" s="11"/>
      <c r="Q2" s="8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9" ht="0.75" customHeight="1">
      <c r="F3" s="8"/>
      <c r="G3" s="8"/>
      <c r="P3" s="11"/>
      <c r="Q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2.75" customHeight="1">
      <c r="D4" s="1220" t="s">
        <v>364</v>
      </c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1"/>
      <c r="Y4" s="11"/>
      <c r="Z4" s="11"/>
      <c r="AA4" s="11"/>
      <c r="AB4" s="11"/>
      <c r="AC4" s="11"/>
    </row>
    <row r="5" spans="2:29" ht="5.25" customHeight="1"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1"/>
      <c r="Y5" s="11"/>
      <c r="Z5" s="11"/>
      <c r="AA5" s="11"/>
      <c r="AB5" s="11"/>
      <c r="AC5" s="11"/>
    </row>
    <row r="6" spans="2:29">
      <c r="F6" s="8"/>
      <c r="G6" s="8"/>
      <c r="H6" s="10"/>
      <c r="I6" s="7"/>
      <c r="J6" s="10"/>
      <c r="K6" s="59"/>
      <c r="L6" s="10"/>
      <c r="M6" s="10"/>
      <c r="N6" s="10"/>
      <c r="O6" s="10"/>
      <c r="P6" s="10"/>
      <c r="Q6" s="86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</row>
    <row r="7" spans="2:29">
      <c r="E7" s="10"/>
      <c r="F7" s="7"/>
      <c r="G7" s="7"/>
      <c r="H7" s="10"/>
      <c r="I7" s="1221" t="s">
        <v>107</v>
      </c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1"/>
      <c r="X7" s="11"/>
      <c r="Y7" s="11"/>
      <c r="Z7" s="11"/>
      <c r="AA7" s="11"/>
      <c r="AB7" s="11"/>
      <c r="AC7" s="11"/>
    </row>
    <row r="8" spans="2:29">
      <c r="E8" s="10"/>
      <c r="F8" s="7"/>
      <c r="G8" s="7"/>
      <c r="H8" s="10"/>
      <c r="I8" s="10"/>
      <c r="J8" s="10"/>
      <c r="K8" s="59"/>
      <c r="L8" s="10"/>
      <c r="M8" s="10"/>
      <c r="N8" s="10"/>
      <c r="O8" s="10"/>
      <c r="P8" s="10"/>
      <c r="Q8" s="86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>
      <c r="E9" s="10"/>
      <c r="F9" s="1222" t="s">
        <v>615</v>
      </c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860"/>
      <c r="U9" s="860"/>
      <c r="V9" s="820"/>
      <c r="W9" s="11"/>
      <c r="X9" s="11"/>
      <c r="Y9" s="11"/>
      <c r="Z9" s="11"/>
      <c r="AA9" s="11"/>
      <c r="AB9" s="11"/>
      <c r="AC9" s="11"/>
    </row>
    <row r="10" spans="2:29">
      <c r="F10" s="821"/>
      <c r="G10" s="821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1"/>
      <c r="X10" s="11"/>
      <c r="Y10" s="11"/>
      <c r="Z10" s="11"/>
      <c r="AA10" s="11"/>
      <c r="AB10" s="11"/>
      <c r="AC10" s="11"/>
    </row>
    <row r="11" spans="2:29" ht="15.75" customHeight="1">
      <c r="F11" s="1223" t="s">
        <v>108</v>
      </c>
      <c r="G11" s="1223"/>
      <c r="H11" s="1223"/>
      <c r="I11" s="1223"/>
      <c r="J11" s="1223"/>
      <c r="K11" s="1223"/>
      <c r="L11" s="1223"/>
      <c r="M11" s="1223"/>
      <c r="N11" s="1223"/>
      <c r="O11" s="1223"/>
      <c r="P11" s="1223"/>
      <c r="Q11" s="1223"/>
      <c r="R11" s="1223"/>
      <c r="S11" s="1223"/>
      <c r="T11" s="1223"/>
      <c r="U11" s="1223"/>
      <c r="V11" s="1223"/>
      <c r="W11" s="11"/>
      <c r="X11" s="11"/>
      <c r="Y11" s="11"/>
      <c r="Z11" s="11"/>
      <c r="AA11" s="11"/>
      <c r="AB11" s="11"/>
      <c r="AC11" s="11"/>
    </row>
    <row r="12" spans="2:29">
      <c r="F12" s="860"/>
      <c r="G12" s="860"/>
      <c r="H12" s="820"/>
      <c r="I12" s="820"/>
      <c r="J12" s="820"/>
      <c r="K12" s="835"/>
      <c r="L12" s="820"/>
      <c r="M12" s="820"/>
      <c r="N12" s="820"/>
      <c r="O12" s="820"/>
      <c r="P12" s="820"/>
      <c r="Q12" s="860"/>
      <c r="R12" s="820"/>
      <c r="S12" s="820"/>
      <c r="T12" s="820"/>
      <c r="U12" s="820"/>
      <c r="V12" s="820"/>
      <c r="W12" s="11"/>
      <c r="X12" s="11"/>
      <c r="Y12" s="11"/>
      <c r="Z12" s="11"/>
      <c r="AA12" s="11"/>
      <c r="AB12" s="11"/>
      <c r="AC12" s="11"/>
    </row>
    <row r="13" spans="2:29">
      <c r="F13" s="8"/>
      <c r="G13" s="8"/>
      <c r="P13" s="11"/>
      <c r="Q13" s="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1" customFormat="1" ht="11.25" customHeight="1">
      <c r="B14" s="61" t="s">
        <v>265</v>
      </c>
      <c r="C14" s="1212" t="s">
        <v>109</v>
      </c>
      <c r="D14" s="1212" t="s">
        <v>415</v>
      </c>
      <c r="E14" s="823" t="s">
        <v>110</v>
      </c>
      <c r="F14" s="824" t="s">
        <v>111</v>
      </c>
      <c r="G14" s="824"/>
      <c r="H14" s="824" t="s">
        <v>269</v>
      </c>
      <c r="I14" s="823" t="s">
        <v>270</v>
      </c>
      <c r="J14" s="823"/>
      <c r="K14" s="1215" t="s">
        <v>611</v>
      </c>
      <c r="L14" s="823" t="s">
        <v>271</v>
      </c>
      <c r="M14" s="825" t="s">
        <v>272</v>
      </c>
      <c r="N14" s="825" t="s">
        <v>272</v>
      </c>
      <c r="O14" s="1218" t="s">
        <v>341</v>
      </c>
      <c r="P14" s="1219" t="s">
        <v>112</v>
      </c>
      <c r="Q14" s="1224" t="s">
        <v>113</v>
      </c>
      <c r="R14" s="1225" t="s">
        <v>114</v>
      </c>
      <c r="S14" s="1225" t="s">
        <v>115</v>
      </c>
      <c r="T14" s="862" t="s">
        <v>573</v>
      </c>
      <c r="U14" s="1227" t="s">
        <v>274</v>
      </c>
      <c r="V14" s="1225" t="s">
        <v>597</v>
      </c>
      <c r="W14" s="23"/>
      <c r="X14" s="23"/>
      <c r="Y14" s="23"/>
      <c r="Z14" s="23"/>
      <c r="AA14" s="23"/>
      <c r="AB14" s="23"/>
      <c r="AC14" s="23"/>
    </row>
    <row r="15" spans="2:29" s="21" customFormat="1" ht="11.25" customHeight="1">
      <c r="B15" s="62" t="s">
        <v>276</v>
      </c>
      <c r="C15" s="1213"/>
      <c r="D15" s="1213"/>
      <c r="E15" s="826" t="s">
        <v>116</v>
      </c>
      <c r="F15" s="828" t="s">
        <v>586</v>
      </c>
      <c r="G15" s="828"/>
      <c r="H15" s="828" t="s">
        <v>278</v>
      </c>
      <c r="I15" s="826" t="s">
        <v>279</v>
      </c>
      <c r="J15" s="826" t="s">
        <v>398</v>
      </c>
      <c r="K15" s="1216"/>
      <c r="L15" s="826" t="s">
        <v>280</v>
      </c>
      <c r="M15" s="829" t="s">
        <v>281</v>
      </c>
      <c r="N15" s="829" t="s">
        <v>281</v>
      </c>
      <c r="O15" s="1218"/>
      <c r="P15" s="1213"/>
      <c r="Q15" s="1224"/>
      <c r="R15" s="1226"/>
      <c r="S15" s="1226"/>
      <c r="T15" s="861"/>
      <c r="U15" s="1228"/>
      <c r="V15" s="1226"/>
      <c r="W15" s="23"/>
      <c r="X15" s="23"/>
      <c r="Y15" s="23"/>
      <c r="Z15" s="23"/>
      <c r="AA15" s="23"/>
      <c r="AB15" s="23"/>
      <c r="AC15" s="23"/>
    </row>
    <row r="16" spans="2:29" s="21" customFormat="1" ht="19.5" customHeight="1">
      <c r="B16" s="63"/>
      <c r="C16" s="1214"/>
      <c r="D16" s="1214"/>
      <c r="E16" s="830"/>
      <c r="F16" s="831" t="s">
        <v>399</v>
      </c>
      <c r="G16" s="831" t="s">
        <v>598</v>
      </c>
      <c r="H16" s="831" t="s">
        <v>283</v>
      </c>
      <c r="I16" s="830"/>
      <c r="J16" s="830"/>
      <c r="K16" s="1217"/>
      <c r="L16" s="830" t="s">
        <v>284</v>
      </c>
      <c r="M16" s="832">
        <v>18</v>
      </c>
      <c r="N16" s="832">
        <v>20</v>
      </c>
      <c r="O16" s="1218"/>
      <c r="P16" s="1213"/>
      <c r="Q16" s="1224"/>
      <c r="R16" s="1226"/>
      <c r="S16" s="1226"/>
      <c r="T16" s="833">
        <v>0.1</v>
      </c>
      <c r="U16" s="1228"/>
      <c r="V16" s="1226"/>
      <c r="W16" s="23"/>
      <c r="X16" s="23"/>
      <c r="Y16" s="23"/>
      <c r="Z16" s="23"/>
      <c r="AA16" s="23"/>
      <c r="AB16" s="23"/>
      <c r="AC16" s="23"/>
    </row>
    <row r="17" spans="2:29" s="65" customFormat="1">
      <c r="B17" s="61">
        <v>1</v>
      </c>
      <c r="C17" s="61" t="s">
        <v>234</v>
      </c>
      <c r="D17" s="9" t="s">
        <v>403</v>
      </c>
      <c r="E17" s="61"/>
      <c r="F17" s="66" t="s">
        <v>365</v>
      </c>
      <c r="G17" s="66" t="s">
        <v>590</v>
      </c>
      <c r="H17" s="64" t="s">
        <v>624</v>
      </c>
      <c r="I17" s="61"/>
      <c r="J17" s="64">
        <v>17697</v>
      </c>
      <c r="K17" s="69">
        <v>5.37</v>
      </c>
      <c r="L17" s="791">
        <f>J17*K17</f>
        <v>95032.89</v>
      </c>
      <c r="M17" s="123"/>
      <c r="N17" s="23"/>
      <c r="O17" s="66"/>
      <c r="P17" s="336"/>
      <c r="Q17" s="336">
        <v>1</v>
      </c>
      <c r="R17" s="791">
        <f>L17*Q17</f>
        <v>95032.89</v>
      </c>
      <c r="S17" s="816">
        <f>R17*25%</f>
        <v>23758.2225</v>
      </c>
      <c r="T17" s="816">
        <f>(S17+R17)*0.1</f>
        <v>11879.111250000002</v>
      </c>
      <c r="U17" s="124"/>
      <c r="V17" s="68">
        <f>S17+R17+T17</f>
        <v>130670.22375</v>
      </c>
    </row>
    <row r="18" spans="2:29" s="12" customFormat="1" ht="12" customHeight="1">
      <c r="B18" s="61">
        <v>2</v>
      </c>
      <c r="C18" s="66" t="s">
        <v>423</v>
      </c>
      <c r="D18" s="333" t="s">
        <v>403</v>
      </c>
      <c r="E18" s="66" t="s">
        <v>117</v>
      </c>
      <c r="F18" s="66" t="s">
        <v>420</v>
      </c>
      <c r="G18" s="66" t="s">
        <v>612</v>
      </c>
      <c r="H18" s="795" t="s">
        <v>656</v>
      </c>
      <c r="I18" s="66">
        <v>17697</v>
      </c>
      <c r="J18" s="66">
        <v>17697</v>
      </c>
      <c r="K18" s="69">
        <v>4.7</v>
      </c>
      <c r="L18" s="791">
        <f>J18*K18</f>
        <v>83175.900000000009</v>
      </c>
      <c r="M18" s="123">
        <v>18</v>
      </c>
      <c r="N18" s="338">
        <v>20</v>
      </c>
      <c r="O18" s="66"/>
      <c r="P18" s="66"/>
      <c r="Q18" s="64">
        <v>1</v>
      </c>
      <c r="R18" s="791">
        <f>L18*Q18</f>
        <v>83175.900000000009</v>
      </c>
      <c r="S18" s="816">
        <f>R18*25%</f>
        <v>20793.975000000002</v>
      </c>
      <c r="T18" s="816">
        <f>(S18+R18)*0.1</f>
        <v>10396.987500000003</v>
      </c>
      <c r="U18" s="124"/>
      <c r="V18" s="68">
        <f>T18+S18+R18</f>
        <v>114366.86250000002</v>
      </c>
    </row>
    <row r="19" spans="2:29" s="12" customFormat="1" ht="12" customHeight="1">
      <c r="B19" s="61">
        <v>3</v>
      </c>
      <c r="C19" s="66" t="s">
        <v>121</v>
      </c>
      <c r="D19" s="333" t="s">
        <v>403</v>
      </c>
      <c r="E19" s="66" t="s">
        <v>122</v>
      </c>
      <c r="F19" s="66" t="s">
        <v>420</v>
      </c>
      <c r="G19" s="66" t="s">
        <v>612</v>
      </c>
      <c r="H19" s="796" t="s">
        <v>657</v>
      </c>
      <c r="I19" s="66"/>
      <c r="J19" s="66">
        <v>17697</v>
      </c>
      <c r="K19" s="69">
        <v>5.1100000000000003</v>
      </c>
      <c r="L19" s="791">
        <f>J19*K19</f>
        <v>90431.670000000013</v>
      </c>
      <c r="M19" s="339">
        <v>18</v>
      </c>
      <c r="N19" s="338">
        <v>20</v>
      </c>
      <c r="O19" s="340"/>
      <c r="P19" s="66"/>
      <c r="Q19" s="64">
        <v>1</v>
      </c>
      <c r="R19" s="791">
        <f>L19*Q19</f>
        <v>90431.670000000013</v>
      </c>
      <c r="S19" s="816">
        <f>R19*25%</f>
        <v>22607.917500000003</v>
      </c>
      <c r="T19" s="816">
        <f>(S19+R19)*0.1</f>
        <v>11303.958750000003</v>
      </c>
      <c r="U19" s="68"/>
      <c r="V19" s="68">
        <f>S19+R19+T19</f>
        <v>124343.54625000003</v>
      </c>
    </row>
    <row r="20" spans="2:29" s="12" customFormat="1" ht="12" customHeight="1">
      <c r="B20" s="61">
        <v>4</v>
      </c>
      <c r="C20" s="70" t="s">
        <v>471</v>
      </c>
      <c r="D20" s="331" t="s">
        <v>403</v>
      </c>
      <c r="E20" s="70"/>
      <c r="F20" s="66" t="s">
        <v>425</v>
      </c>
      <c r="G20" s="66" t="s">
        <v>591</v>
      </c>
      <c r="H20" s="69" t="s">
        <v>658</v>
      </c>
      <c r="I20" s="66"/>
      <c r="J20" s="66">
        <v>17697</v>
      </c>
      <c r="K20" s="69">
        <v>1.88</v>
      </c>
      <c r="L20" s="791">
        <f>J20*K20</f>
        <v>33270.36</v>
      </c>
      <c r="M20" s="67"/>
      <c r="N20" s="337"/>
      <c r="O20" s="337"/>
      <c r="P20" s="66"/>
      <c r="Q20" s="64">
        <v>0.5</v>
      </c>
      <c r="R20" s="791">
        <f>L20*Q20</f>
        <v>16635.18</v>
      </c>
      <c r="S20" s="817"/>
      <c r="T20" s="816">
        <f>(S20+R20)*0.1</f>
        <v>1663.518</v>
      </c>
      <c r="U20" s="68"/>
      <c r="V20" s="68">
        <f>S20+R20+T20</f>
        <v>18298.698</v>
      </c>
    </row>
    <row r="21" spans="2:29" s="12" customFormat="1" ht="12" customHeight="1">
      <c r="B21" s="61">
        <v>5</v>
      </c>
      <c r="C21" s="70" t="s">
        <v>362</v>
      </c>
      <c r="D21" s="331" t="s">
        <v>366</v>
      </c>
      <c r="E21" s="70"/>
      <c r="F21" s="333" t="s">
        <v>427</v>
      </c>
      <c r="G21" s="333" t="s">
        <v>592</v>
      </c>
      <c r="H21" s="69" t="s">
        <v>659</v>
      </c>
      <c r="I21" s="66"/>
      <c r="J21" s="66">
        <v>17697</v>
      </c>
      <c r="K21" s="69">
        <v>2.58</v>
      </c>
      <c r="L21" s="791">
        <f>J21*K21</f>
        <v>45658.26</v>
      </c>
      <c r="M21" s="67"/>
      <c r="N21" s="337"/>
      <c r="O21" s="337"/>
      <c r="P21" s="66"/>
      <c r="Q21" s="64">
        <v>1</v>
      </c>
      <c r="R21" s="791">
        <f>L21*Q21</f>
        <v>45658.26</v>
      </c>
      <c r="S21" s="816"/>
      <c r="T21" s="816">
        <f>(S21+R21)*0.1</f>
        <v>4565.826</v>
      </c>
      <c r="U21" s="68"/>
      <c r="V21" s="68">
        <f>S21+R21+T21</f>
        <v>50224.086000000003</v>
      </c>
      <c r="W21" s="341"/>
      <c r="X21" s="341"/>
    </row>
    <row r="22" spans="2:29" s="53" customFormat="1" ht="12" customHeight="1">
      <c r="B22" s="722" t="s">
        <v>302</v>
      </c>
      <c r="C22" s="722" t="s">
        <v>302</v>
      </c>
      <c r="D22" s="722" t="s">
        <v>302</v>
      </c>
      <c r="E22" s="722"/>
      <c r="F22" s="722"/>
      <c r="G22" s="722" t="s">
        <v>302</v>
      </c>
      <c r="H22" s="722" t="s">
        <v>302</v>
      </c>
      <c r="I22" s="722"/>
      <c r="J22" s="722" t="s">
        <v>302</v>
      </c>
      <c r="K22" s="722" t="s">
        <v>302</v>
      </c>
      <c r="L22" s="723">
        <f>SUM(L17:L21)</f>
        <v>347569.08</v>
      </c>
      <c r="M22" s="724">
        <v>18</v>
      </c>
      <c r="N22" s="724">
        <v>20</v>
      </c>
      <c r="O22" s="724"/>
      <c r="P22" s="723">
        <f>SUM(P18:P21)</f>
        <v>0</v>
      </c>
      <c r="Q22" s="725">
        <f t="shared" ref="Q22:V22" si="0">SUM(Q17:Q21)</f>
        <v>4.5</v>
      </c>
      <c r="R22" s="726">
        <f t="shared" si="0"/>
        <v>330933.90000000002</v>
      </c>
      <c r="S22" s="726">
        <f t="shared" si="0"/>
        <v>67160.115000000005</v>
      </c>
      <c r="T22" s="726">
        <f t="shared" si="0"/>
        <v>39809.401500000007</v>
      </c>
      <c r="U22" s="726">
        <f t="shared" si="0"/>
        <v>0</v>
      </c>
      <c r="V22" s="726">
        <f t="shared" si="0"/>
        <v>437903.41650000005</v>
      </c>
      <c r="W22" s="342"/>
      <c r="X22" s="342"/>
    </row>
    <row r="23" spans="2:29">
      <c r="B23" s="21"/>
      <c r="C23" s="21"/>
      <c r="P23" s="21"/>
      <c r="Q23" s="22"/>
      <c r="R23" s="21"/>
      <c r="S23" s="21"/>
      <c r="T23" s="21"/>
      <c r="U23" s="21"/>
      <c r="V23" s="21"/>
      <c r="W23" s="341"/>
      <c r="X23" s="341"/>
    </row>
    <row r="24" spans="2:29" s="37" customFormat="1">
      <c r="D24" s="226" t="s">
        <v>303</v>
      </c>
      <c r="E24" s="226"/>
      <c r="L24" s="226" t="s">
        <v>603</v>
      </c>
      <c r="M24" s="738"/>
      <c r="N24" s="59"/>
      <c r="Q24" s="38"/>
      <c r="W24" s="342"/>
      <c r="X24" s="342"/>
      <c r="Y24" s="53"/>
      <c r="Z24" s="53"/>
      <c r="AA24" s="53"/>
      <c r="AB24" s="53"/>
      <c r="AC24" s="53"/>
    </row>
    <row r="25" spans="2:29" s="37" customFormat="1">
      <c r="C25" s="692"/>
      <c r="D25" s="226"/>
      <c r="E25" s="226"/>
      <c r="F25" s="226"/>
      <c r="G25" s="226"/>
      <c r="H25" s="695"/>
      <c r="I25" s="696"/>
      <c r="J25" s="695"/>
      <c r="K25" s="695"/>
      <c r="L25" s="226"/>
      <c r="M25" s="226"/>
      <c r="N25" s="59"/>
      <c r="Q25" s="38"/>
      <c r="W25" s="53"/>
      <c r="X25" s="53"/>
      <c r="Y25" s="53"/>
      <c r="Z25" s="53"/>
      <c r="AA25" s="53"/>
      <c r="AB25" s="53"/>
      <c r="AC25" s="53"/>
    </row>
    <row r="26" spans="2:29" s="37" customFormat="1">
      <c r="C26" s="692"/>
      <c r="D26" s="226" t="s">
        <v>474</v>
      </c>
      <c r="E26" s="226"/>
      <c r="F26" s="226"/>
      <c r="G26" s="226"/>
      <c r="H26" s="695"/>
      <c r="I26" s="696"/>
      <c r="J26" s="695"/>
      <c r="K26" s="695"/>
      <c r="L26" s="226" t="s">
        <v>595</v>
      </c>
      <c r="M26" s="226"/>
      <c r="N26" s="59"/>
      <c r="Q26" s="38"/>
      <c r="W26" s="53"/>
      <c r="X26" s="53"/>
      <c r="Y26" s="53"/>
      <c r="Z26" s="53"/>
      <c r="AA26" s="53"/>
      <c r="AB26" s="53"/>
      <c r="AC26" s="53"/>
    </row>
    <row r="27" spans="2:29" s="37" customFormat="1">
      <c r="C27" s="692"/>
      <c r="D27" s="226"/>
      <c r="E27" s="226"/>
      <c r="F27" s="226"/>
      <c r="G27" s="226"/>
      <c r="H27" s="695"/>
      <c r="I27" s="695"/>
      <c r="J27" s="695"/>
      <c r="K27" s="695"/>
      <c r="L27" s="226"/>
      <c r="M27" s="226"/>
      <c r="N27" s="33"/>
      <c r="Q27" s="38"/>
      <c r="W27" s="53"/>
      <c r="X27" s="53"/>
      <c r="Y27" s="53"/>
      <c r="Z27" s="53"/>
      <c r="AA27" s="53"/>
      <c r="AB27" s="53"/>
      <c r="AC27" s="53"/>
    </row>
    <row r="28" spans="2:29" s="37" customFormat="1">
      <c r="C28" s="692"/>
      <c r="D28" s="226" t="s">
        <v>572</v>
      </c>
      <c r="E28" s="226"/>
      <c r="F28" s="226"/>
      <c r="G28" s="226"/>
      <c r="H28" s="695"/>
      <c r="I28" s="695"/>
      <c r="J28" s="695"/>
      <c r="K28" s="695"/>
      <c r="L28" s="226" t="s">
        <v>610</v>
      </c>
      <c r="M28" s="226"/>
      <c r="N28" s="33"/>
      <c r="O28" s="901"/>
      <c r="Q28" s="38"/>
      <c r="T28" s="901"/>
      <c r="W28" s="53"/>
      <c r="X28" s="53"/>
      <c r="Y28" s="53"/>
      <c r="Z28" s="53"/>
      <c r="AA28" s="53"/>
      <c r="AB28" s="53"/>
      <c r="AC28" s="53"/>
    </row>
    <row r="29" spans="2:29" s="37" customFormat="1">
      <c r="C29" s="693"/>
      <c r="D29" s="226"/>
      <c r="E29" s="226"/>
      <c r="F29" s="226"/>
      <c r="G29" s="226"/>
      <c r="H29" s="695"/>
      <c r="I29" s="695"/>
      <c r="J29" s="695"/>
      <c r="K29" s="695"/>
      <c r="L29" s="695"/>
      <c r="M29" s="697"/>
      <c r="N29" s="694"/>
      <c r="Q29" s="38"/>
      <c r="W29" s="53"/>
      <c r="X29" s="53"/>
      <c r="Y29" s="53"/>
      <c r="Z29" s="53"/>
      <c r="AA29" s="53"/>
      <c r="AB29" s="53"/>
      <c r="AC29" s="53"/>
    </row>
    <row r="30" spans="2:29" s="37" customFormat="1">
      <c r="C30" s="694"/>
      <c r="D30" s="694"/>
      <c r="E30" s="699"/>
      <c r="F30" s="694"/>
      <c r="G30" s="694"/>
      <c r="H30" s="694"/>
      <c r="I30" s="694"/>
      <c r="J30" s="694"/>
      <c r="K30" s="694"/>
      <c r="L30" s="694"/>
      <c r="M30" s="698"/>
      <c r="N30" s="694"/>
      <c r="Q30" s="38"/>
      <c r="W30" s="53"/>
      <c r="X30" s="53"/>
      <c r="Y30" s="53"/>
      <c r="Z30" s="53"/>
      <c r="AA30" s="53"/>
      <c r="AB30" s="53"/>
      <c r="AC30" s="53"/>
    </row>
    <row r="31" spans="2:29" s="37" customFormat="1">
      <c r="Q31" s="38"/>
      <c r="W31" s="53"/>
      <c r="X31" s="53"/>
      <c r="Y31" s="53"/>
      <c r="Z31" s="53"/>
      <c r="AA31" s="53"/>
      <c r="AB31" s="53"/>
      <c r="AC31" s="53"/>
    </row>
    <row r="32" spans="2:29" s="37" customFormat="1">
      <c r="Q32" s="38"/>
      <c r="W32" s="53"/>
      <c r="X32" s="53"/>
      <c r="Y32" s="53"/>
      <c r="Z32" s="53"/>
      <c r="AA32" s="53"/>
      <c r="AB32" s="53"/>
      <c r="AC32" s="53"/>
    </row>
    <row r="33" spans="16:29" s="37" customFormat="1">
      <c r="Q33" s="38"/>
      <c r="W33" s="53"/>
      <c r="X33" s="53"/>
      <c r="Y33" s="53"/>
      <c r="Z33" s="53"/>
      <c r="AA33" s="53"/>
      <c r="AB33" s="53"/>
      <c r="AC33" s="53"/>
    </row>
    <row r="34" spans="16:29" s="37" customFormat="1">
      <c r="Q34" s="38"/>
      <c r="W34" s="53"/>
      <c r="X34" s="53"/>
      <c r="Y34" s="53"/>
      <c r="Z34" s="53"/>
      <c r="AA34" s="53"/>
      <c r="AB34" s="53"/>
      <c r="AC34" s="53"/>
    </row>
    <row r="35" spans="16:29" s="37" customFormat="1">
      <c r="Q35" s="38"/>
      <c r="W35" s="53"/>
      <c r="X35" s="53"/>
      <c r="Y35" s="53"/>
      <c r="Z35" s="53"/>
      <c r="AA35" s="53"/>
      <c r="AB35" s="53"/>
      <c r="AC35" s="53"/>
    </row>
    <row r="36" spans="16:29" s="37" customFormat="1">
      <c r="Q36" s="38"/>
      <c r="W36" s="53"/>
      <c r="X36" s="53"/>
      <c r="Y36" s="53"/>
      <c r="Z36" s="53"/>
      <c r="AA36" s="53"/>
      <c r="AB36" s="53"/>
      <c r="AC36" s="53"/>
    </row>
    <row r="37" spans="16:29" s="37" customFormat="1">
      <c r="Q37" s="38"/>
      <c r="W37" s="53"/>
      <c r="X37" s="53"/>
      <c r="Y37" s="53"/>
      <c r="Z37" s="53"/>
      <c r="AA37" s="53"/>
      <c r="AB37" s="53"/>
      <c r="AC37" s="53"/>
    </row>
    <row r="38" spans="16:29" s="37" customFormat="1">
      <c r="P38" s="32"/>
      <c r="Q38" s="58"/>
      <c r="R38" s="32"/>
      <c r="S38" s="32"/>
      <c r="T38" s="32"/>
      <c r="U38" s="32"/>
      <c r="V38" s="32"/>
      <c r="W38" s="53"/>
      <c r="X38" s="53"/>
      <c r="Y38" s="53"/>
      <c r="Z38" s="53"/>
      <c r="AA38" s="53"/>
      <c r="AB38" s="53"/>
      <c r="AC38" s="53"/>
    </row>
  </sheetData>
  <mergeCells count="15">
    <mergeCell ref="Q14:Q16"/>
    <mergeCell ref="R14:R16"/>
    <mergeCell ref="S14:S16"/>
    <mergeCell ref="U14:U16"/>
    <mergeCell ref="V14:V16"/>
    <mergeCell ref="D4:W5"/>
    <mergeCell ref="I7:V7"/>
    <mergeCell ref="F9:S9"/>
    <mergeCell ref="H10:V10"/>
    <mergeCell ref="F11:V11"/>
    <mergeCell ref="C14:C16"/>
    <mergeCell ref="D14:D16"/>
    <mergeCell ref="K14:K16"/>
    <mergeCell ref="O14:O16"/>
    <mergeCell ref="P14:P16"/>
  </mergeCells>
  <pageMargins left="0.23622047244094491" right="0.19685039370078741" top="1.5748031496062993" bottom="0.98425196850393704" header="1.5748031496062993" footer="0.51181102362204722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38"/>
  <sheetViews>
    <sheetView view="pageBreakPreview" topLeftCell="C5" zoomScale="110" zoomScaleNormal="70" zoomScaleSheetLayoutView="110" workbookViewId="0">
      <selection activeCell="C5" sqref="C1:C1048576"/>
    </sheetView>
  </sheetViews>
  <sheetFormatPr defaultRowHeight="12.75"/>
  <cols>
    <col min="1" max="1" width="2.85546875" style="11" customWidth="1"/>
    <col min="2" max="2" width="3.42578125" style="11" customWidth="1"/>
    <col min="3" max="3" width="11.140625" style="11" customWidth="1"/>
    <col min="4" max="4" width="9.140625" style="11"/>
    <col min="5" max="5" width="10.7109375" style="11" hidden="1" customWidth="1"/>
    <col min="6" max="6" width="6.7109375" style="11" hidden="1" customWidth="1"/>
    <col min="7" max="7" width="10.140625" style="11" customWidth="1"/>
    <col min="8" max="8" width="8" style="11" customWidth="1"/>
    <col min="9" max="9" width="5.85546875" style="11" hidden="1" customWidth="1"/>
    <col min="10" max="10" width="6.140625" style="11" customWidth="1"/>
    <col min="11" max="11" width="9" style="37" customWidth="1"/>
    <col min="12" max="12" width="9.42578125" style="11" customWidth="1"/>
    <col min="13" max="14" width="3.28515625" style="11" hidden="1" customWidth="1"/>
    <col min="15" max="15" width="4.85546875" style="11" hidden="1" customWidth="1"/>
    <col min="16" max="16" width="5" style="28" hidden="1" customWidth="1"/>
    <col min="17" max="17" width="6.7109375" style="30" customWidth="1"/>
    <col min="18" max="18" width="9.140625" style="28" customWidth="1"/>
    <col min="19" max="19" width="7.7109375" style="28" customWidth="1"/>
    <col min="20" max="20" width="10.140625" style="28" customWidth="1"/>
    <col min="21" max="21" width="6.5703125" style="28" hidden="1" customWidth="1"/>
    <col min="22" max="22" width="8.7109375" style="28" customWidth="1"/>
    <col min="23" max="23" width="3.42578125" style="12" customWidth="1"/>
    <col min="24" max="24" width="4.85546875" style="12" customWidth="1"/>
    <col min="25" max="29" width="9.140625" style="12"/>
    <col min="30" max="16384" width="9.140625" style="11"/>
  </cols>
  <sheetData>
    <row r="2" spans="2:29" ht="13.5" customHeight="1">
      <c r="F2" s="8"/>
      <c r="G2" s="8"/>
      <c r="P2" s="11"/>
      <c r="Q2" s="8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9" ht="0.75" customHeight="1">
      <c r="F3" s="8"/>
      <c r="G3" s="8"/>
      <c r="P3" s="11"/>
      <c r="Q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2.75" customHeight="1">
      <c r="D4" s="1220" t="s">
        <v>364</v>
      </c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1"/>
      <c r="Y4" s="11"/>
      <c r="Z4" s="11"/>
      <c r="AA4" s="11"/>
      <c r="AB4" s="11"/>
      <c r="AC4" s="11"/>
    </row>
    <row r="5" spans="2:29" ht="5.25" customHeight="1"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1"/>
      <c r="Y5" s="11"/>
      <c r="Z5" s="11"/>
      <c r="AA5" s="11"/>
      <c r="AB5" s="11"/>
      <c r="AC5" s="11"/>
    </row>
    <row r="6" spans="2:29">
      <c r="F6" s="8"/>
      <c r="G6" s="8"/>
      <c r="H6" s="10"/>
      <c r="I6" s="7"/>
      <c r="J6" s="10"/>
      <c r="K6" s="59"/>
      <c r="L6" s="10"/>
      <c r="M6" s="10"/>
      <c r="N6" s="10"/>
      <c r="O6" s="10"/>
      <c r="P6" s="10"/>
      <c r="Q6" s="346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</row>
    <row r="7" spans="2:29">
      <c r="E7" s="10"/>
      <c r="F7" s="7"/>
      <c r="G7" s="7"/>
      <c r="H7" s="10"/>
      <c r="I7" s="1221" t="s">
        <v>107</v>
      </c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1"/>
      <c r="X7" s="11"/>
      <c r="Y7" s="11"/>
      <c r="Z7" s="11"/>
      <c r="AA7" s="11"/>
      <c r="AB7" s="11"/>
      <c r="AC7" s="11"/>
    </row>
    <row r="8" spans="2:29">
      <c r="E8" s="10"/>
      <c r="F8" s="7"/>
      <c r="G8" s="7"/>
      <c r="H8" s="10"/>
      <c r="I8" s="10"/>
      <c r="J8" s="10"/>
      <c r="K8" s="59"/>
      <c r="L8" s="10"/>
      <c r="M8" s="10"/>
      <c r="N8" s="10"/>
      <c r="O8" s="10"/>
      <c r="P8" s="10"/>
      <c r="Q8" s="346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>
      <c r="E9" s="10"/>
      <c r="F9" s="1222" t="s">
        <v>615</v>
      </c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346"/>
      <c r="U9" s="346"/>
      <c r="V9" s="820"/>
      <c r="W9" s="11"/>
      <c r="X9" s="11"/>
      <c r="Y9" s="11"/>
      <c r="Z9" s="11"/>
      <c r="AA9" s="11"/>
      <c r="AB9" s="11"/>
      <c r="AC9" s="11"/>
    </row>
    <row r="10" spans="2:29">
      <c r="F10" s="821"/>
      <c r="G10" s="821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1"/>
      <c r="X10" s="11"/>
      <c r="Y10" s="11"/>
      <c r="Z10" s="11"/>
      <c r="AA10" s="11"/>
      <c r="AB10" s="11"/>
      <c r="AC10" s="11"/>
    </row>
    <row r="11" spans="2:29" ht="15.75" customHeight="1">
      <c r="F11" s="1223" t="s">
        <v>108</v>
      </c>
      <c r="G11" s="1223"/>
      <c r="H11" s="1223"/>
      <c r="I11" s="1223"/>
      <c r="J11" s="1223"/>
      <c r="K11" s="1223"/>
      <c r="L11" s="1223"/>
      <c r="M11" s="1223"/>
      <c r="N11" s="1223"/>
      <c r="O11" s="1223"/>
      <c r="P11" s="1223"/>
      <c r="Q11" s="1223"/>
      <c r="R11" s="1223"/>
      <c r="S11" s="1223"/>
      <c r="T11" s="1223"/>
      <c r="U11" s="1223"/>
      <c r="V11" s="1223"/>
      <c r="W11" s="11"/>
      <c r="X11" s="11"/>
      <c r="Y11" s="11"/>
      <c r="Z11" s="11"/>
      <c r="AA11" s="11"/>
      <c r="AB11" s="11"/>
      <c r="AC11" s="11"/>
    </row>
    <row r="12" spans="2:29">
      <c r="F12" s="346"/>
      <c r="G12" s="346"/>
      <c r="H12" s="820"/>
      <c r="I12" s="820"/>
      <c r="J12" s="820"/>
      <c r="K12" s="835"/>
      <c r="L12" s="820"/>
      <c r="M12" s="820"/>
      <c r="N12" s="820"/>
      <c r="O12" s="820"/>
      <c r="P12" s="820"/>
      <c r="Q12" s="346"/>
      <c r="R12" s="820"/>
      <c r="S12" s="820"/>
      <c r="T12" s="820"/>
      <c r="U12" s="820"/>
      <c r="V12" s="820"/>
      <c r="W12" s="11"/>
      <c r="X12" s="11"/>
      <c r="Y12" s="11"/>
      <c r="Z12" s="11"/>
      <c r="AA12" s="11"/>
      <c r="AB12" s="11"/>
      <c r="AC12" s="11"/>
    </row>
    <row r="13" spans="2:29">
      <c r="F13" s="8"/>
      <c r="G13" s="8"/>
      <c r="P13" s="11"/>
      <c r="Q13" s="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1" customFormat="1" ht="11.25" customHeight="1">
      <c r="B14" s="61" t="s">
        <v>265</v>
      </c>
      <c r="C14" s="1212" t="s">
        <v>109</v>
      </c>
      <c r="D14" s="1212" t="s">
        <v>415</v>
      </c>
      <c r="E14" s="823" t="s">
        <v>110</v>
      </c>
      <c r="F14" s="824" t="s">
        <v>111</v>
      </c>
      <c r="G14" s="824"/>
      <c r="H14" s="824" t="s">
        <v>269</v>
      </c>
      <c r="I14" s="823" t="s">
        <v>270</v>
      </c>
      <c r="J14" s="823"/>
      <c r="K14" s="1215" t="s">
        <v>611</v>
      </c>
      <c r="L14" s="823" t="s">
        <v>271</v>
      </c>
      <c r="M14" s="825" t="s">
        <v>272</v>
      </c>
      <c r="N14" s="825" t="s">
        <v>272</v>
      </c>
      <c r="O14" s="1218" t="s">
        <v>341</v>
      </c>
      <c r="P14" s="1219" t="s">
        <v>112</v>
      </c>
      <c r="Q14" s="1224" t="s">
        <v>113</v>
      </c>
      <c r="R14" s="1225" t="s">
        <v>114</v>
      </c>
      <c r="S14" s="1225" t="s">
        <v>115</v>
      </c>
      <c r="T14" s="691" t="s">
        <v>573</v>
      </c>
      <c r="U14" s="1227" t="s">
        <v>274</v>
      </c>
      <c r="V14" s="1225" t="s">
        <v>597</v>
      </c>
      <c r="W14" s="23"/>
      <c r="X14" s="23"/>
      <c r="Y14" s="23"/>
      <c r="Z14" s="23"/>
      <c r="AA14" s="23"/>
      <c r="AB14" s="23"/>
      <c r="AC14" s="23"/>
    </row>
    <row r="15" spans="2:29" s="21" customFormat="1" ht="11.25" customHeight="1">
      <c r="B15" s="62" t="s">
        <v>276</v>
      </c>
      <c r="C15" s="1213"/>
      <c r="D15" s="1213"/>
      <c r="E15" s="826" t="s">
        <v>116</v>
      </c>
      <c r="F15" s="828" t="s">
        <v>586</v>
      </c>
      <c r="G15" s="828"/>
      <c r="H15" s="828" t="s">
        <v>278</v>
      </c>
      <c r="I15" s="826" t="s">
        <v>279</v>
      </c>
      <c r="J15" s="826" t="s">
        <v>398</v>
      </c>
      <c r="K15" s="1216"/>
      <c r="L15" s="826" t="s">
        <v>280</v>
      </c>
      <c r="M15" s="829" t="s">
        <v>281</v>
      </c>
      <c r="N15" s="829" t="s">
        <v>281</v>
      </c>
      <c r="O15" s="1218"/>
      <c r="P15" s="1213"/>
      <c r="Q15" s="1224"/>
      <c r="R15" s="1226"/>
      <c r="S15" s="1226"/>
      <c r="T15" s="827"/>
      <c r="U15" s="1228"/>
      <c r="V15" s="1226"/>
      <c r="W15" s="23"/>
      <c r="X15" s="23"/>
      <c r="Y15" s="23"/>
      <c r="Z15" s="23"/>
      <c r="AA15" s="23"/>
      <c r="AB15" s="23"/>
      <c r="AC15" s="23"/>
    </row>
    <row r="16" spans="2:29" s="21" customFormat="1" ht="19.5" customHeight="1">
      <c r="B16" s="63"/>
      <c r="C16" s="1214"/>
      <c r="D16" s="1214"/>
      <c r="E16" s="830"/>
      <c r="F16" s="831" t="s">
        <v>399</v>
      </c>
      <c r="G16" s="831" t="s">
        <v>598</v>
      </c>
      <c r="H16" s="831" t="s">
        <v>283</v>
      </c>
      <c r="I16" s="830"/>
      <c r="J16" s="830"/>
      <c r="K16" s="1217"/>
      <c r="L16" s="830" t="s">
        <v>284</v>
      </c>
      <c r="M16" s="832">
        <v>18</v>
      </c>
      <c r="N16" s="832">
        <v>20</v>
      </c>
      <c r="O16" s="1218"/>
      <c r="P16" s="1213"/>
      <c r="Q16" s="1224"/>
      <c r="R16" s="1226"/>
      <c r="S16" s="1226"/>
      <c r="T16" s="833">
        <v>0.1</v>
      </c>
      <c r="U16" s="1228"/>
      <c r="V16" s="1226"/>
      <c r="W16" s="23"/>
      <c r="X16" s="23"/>
      <c r="Y16" s="23"/>
      <c r="Z16" s="23"/>
      <c r="AA16" s="23"/>
      <c r="AB16" s="23"/>
      <c r="AC16" s="23"/>
    </row>
    <row r="17" spans="2:29" s="65" customFormat="1">
      <c r="B17" s="61">
        <v>1</v>
      </c>
      <c r="C17" s="61" t="s">
        <v>234</v>
      </c>
      <c r="D17" s="9" t="s">
        <v>403</v>
      </c>
      <c r="E17" s="61"/>
      <c r="F17" s="66" t="s">
        <v>365</v>
      </c>
      <c r="G17" s="66" t="s">
        <v>590</v>
      </c>
      <c r="H17" s="64" t="s">
        <v>624</v>
      </c>
      <c r="I17" s="61"/>
      <c r="J17" s="64">
        <v>17697</v>
      </c>
      <c r="K17" s="69">
        <v>5.91</v>
      </c>
      <c r="L17" s="791">
        <f>J17*K17</f>
        <v>104589.27</v>
      </c>
      <c r="M17" s="123"/>
      <c r="N17" s="23"/>
      <c r="O17" s="66"/>
      <c r="P17" s="336"/>
      <c r="Q17" s="336">
        <v>1</v>
      </c>
      <c r="R17" s="791">
        <f>L17*Q17</f>
        <v>104589.27</v>
      </c>
      <c r="S17" s="816">
        <f>R17*25%</f>
        <v>26147.317500000001</v>
      </c>
      <c r="T17" s="816">
        <f>(S17+R17)*0.1</f>
        <v>13073.658750000002</v>
      </c>
      <c r="U17" s="124"/>
      <c r="V17" s="68">
        <f>S17+R17+T17</f>
        <v>143810.24625000003</v>
      </c>
    </row>
    <row r="18" spans="2:29" s="12" customFormat="1" ht="12" customHeight="1">
      <c r="B18" s="61">
        <v>2</v>
      </c>
      <c r="C18" s="66" t="s">
        <v>423</v>
      </c>
      <c r="D18" s="333" t="s">
        <v>403</v>
      </c>
      <c r="E18" s="66" t="s">
        <v>117</v>
      </c>
      <c r="F18" s="66" t="s">
        <v>420</v>
      </c>
      <c r="G18" s="66" t="s">
        <v>612</v>
      </c>
      <c r="H18" s="795" t="s">
        <v>656</v>
      </c>
      <c r="I18" s="66">
        <v>17697</v>
      </c>
      <c r="J18" s="66">
        <v>17697</v>
      </c>
      <c r="K18" s="69">
        <v>5.17</v>
      </c>
      <c r="L18" s="791">
        <f>J18*K18</f>
        <v>91493.49</v>
      </c>
      <c r="M18" s="123">
        <v>18</v>
      </c>
      <c r="N18" s="338">
        <v>20</v>
      </c>
      <c r="O18" s="66"/>
      <c r="P18" s="66"/>
      <c r="Q18" s="64">
        <v>1</v>
      </c>
      <c r="R18" s="791">
        <f>L18*Q18</f>
        <v>91493.49</v>
      </c>
      <c r="S18" s="816">
        <f>R18*25%</f>
        <v>22873.372500000001</v>
      </c>
      <c r="T18" s="816">
        <f>(S18+R18)*0.1</f>
        <v>11436.686250000001</v>
      </c>
      <c r="U18" s="124"/>
      <c r="V18" s="68">
        <f>T18+S18+R18</f>
        <v>125803.54875000002</v>
      </c>
    </row>
    <row r="19" spans="2:29" s="12" customFormat="1" ht="12" customHeight="1">
      <c r="B19" s="61">
        <v>3</v>
      </c>
      <c r="C19" s="66" t="s">
        <v>121</v>
      </c>
      <c r="D19" s="333" t="s">
        <v>403</v>
      </c>
      <c r="E19" s="66" t="s">
        <v>122</v>
      </c>
      <c r="F19" s="66" t="s">
        <v>420</v>
      </c>
      <c r="G19" s="66" t="s">
        <v>612</v>
      </c>
      <c r="H19" s="796" t="s">
        <v>657</v>
      </c>
      <c r="I19" s="66"/>
      <c r="J19" s="66">
        <v>17697</v>
      </c>
      <c r="K19" s="69">
        <v>5.47</v>
      </c>
      <c r="L19" s="791">
        <f>J19*K19</f>
        <v>96802.59</v>
      </c>
      <c r="M19" s="339">
        <v>18</v>
      </c>
      <c r="N19" s="338">
        <v>20</v>
      </c>
      <c r="O19" s="340"/>
      <c r="P19" s="66"/>
      <c r="Q19" s="64">
        <v>1</v>
      </c>
      <c r="R19" s="791">
        <f>L19*Q19</f>
        <v>96802.59</v>
      </c>
      <c r="S19" s="816">
        <f>R19*25%</f>
        <v>24200.647499999999</v>
      </c>
      <c r="T19" s="816">
        <f>(S19+R19)*0.1</f>
        <v>12100.32375</v>
      </c>
      <c r="U19" s="68"/>
      <c r="V19" s="68">
        <f>S19+R19+T19</f>
        <v>133103.56125</v>
      </c>
    </row>
    <row r="20" spans="2:29" s="12" customFormat="1" ht="12" customHeight="1">
      <c r="B20" s="61">
        <v>4</v>
      </c>
      <c r="C20" s="70" t="s">
        <v>471</v>
      </c>
      <c r="D20" s="331" t="s">
        <v>403</v>
      </c>
      <c r="E20" s="70"/>
      <c r="F20" s="66" t="s">
        <v>425</v>
      </c>
      <c r="G20" s="66" t="s">
        <v>591</v>
      </c>
      <c r="H20" s="69" t="s">
        <v>658</v>
      </c>
      <c r="I20" s="66"/>
      <c r="J20" s="66">
        <v>17697</v>
      </c>
      <c r="K20" s="69">
        <v>3.16</v>
      </c>
      <c r="L20" s="791">
        <f>J20*K20</f>
        <v>55922.520000000004</v>
      </c>
      <c r="M20" s="67"/>
      <c r="N20" s="337"/>
      <c r="O20" s="337"/>
      <c r="P20" s="66"/>
      <c r="Q20" s="64">
        <v>0.5</v>
      </c>
      <c r="R20" s="791">
        <f>L20*Q20</f>
        <v>27961.260000000002</v>
      </c>
      <c r="S20" s="817"/>
      <c r="T20" s="816">
        <f>(S20+R20)*0.1</f>
        <v>2796.1260000000002</v>
      </c>
      <c r="U20" s="68"/>
      <c r="V20" s="68">
        <f>S20+R20+T20</f>
        <v>30757.386000000002</v>
      </c>
    </row>
    <row r="21" spans="2:29" s="12" customFormat="1" ht="12" customHeight="1">
      <c r="B21" s="61">
        <v>5</v>
      </c>
      <c r="C21" s="70" t="s">
        <v>362</v>
      </c>
      <c r="D21" s="331" t="s">
        <v>366</v>
      </c>
      <c r="E21" s="70"/>
      <c r="F21" s="333" t="s">
        <v>427</v>
      </c>
      <c r="G21" s="333" t="s">
        <v>592</v>
      </c>
      <c r="H21" s="69" t="s">
        <v>659</v>
      </c>
      <c r="I21" s="66"/>
      <c r="J21" s="66">
        <v>17697</v>
      </c>
      <c r="K21" s="69">
        <v>3.68</v>
      </c>
      <c r="L21" s="791">
        <f>J21*K21</f>
        <v>65124.960000000006</v>
      </c>
      <c r="M21" s="67"/>
      <c r="N21" s="337"/>
      <c r="O21" s="337"/>
      <c r="P21" s="66"/>
      <c r="Q21" s="64">
        <v>1</v>
      </c>
      <c r="R21" s="791">
        <f>L21*Q21</f>
        <v>65124.960000000006</v>
      </c>
      <c r="S21" s="816"/>
      <c r="T21" s="816">
        <f>(S21+R21)*0.1</f>
        <v>6512.496000000001</v>
      </c>
      <c r="U21" s="68"/>
      <c r="V21" s="68">
        <f>S21+R21+T21</f>
        <v>71637.456000000006</v>
      </c>
      <c r="W21" s="341"/>
      <c r="X21" s="341"/>
    </row>
    <row r="22" spans="2:29" s="53" customFormat="1" ht="12" customHeight="1">
      <c r="B22" s="722" t="s">
        <v>302</v>
      </c>
      <c r="C22" s="722" t="s">
        <v>302</v>
      </c>
      <c r="D22" s="722" t="s">
        <v>302</v>
      </c>
      <c r="E22" s="722"/>
      <c r="F22" s="722"/>
      <c r="G22" s="722" t="s">
        <v>302</v>
      </c>
      <c r="H22" s="722" t="s">
        <v>302</v>
      </c>
      <c r="I22" s="722"/>
      <c r="J22" s="722" t="s">
        <v>302</v>
      </c>
      <c r="K22" s="722" t="s">
        <v>302</v>
      </c>
      <c r="L22" s="723">
        <f>SUM(L17:L21)</f>
        <v>413932.83</v>
      </c>
      <c r="M22" s="724">
        <v>18</v>
      </c>
      <c r="N22" s="724">
        <v>20</v>
      </c>
      <c r="O22" s="724"/>
      <c r="P22" s="723">
        <f>SUM(P18:P21)</f>
        <v>0</v>
      </c>
      <c r="Q22" s="725">
        <f t="shared" ref="Q22:V22" si="0">SUM(Q17:Q21)</f>
        <v>4.5</v>
      </c>
      <c r="R22" s="726">
        <f t="shared" si="0"/>
        <v>385971.57</v>
      </c>
      <c r="S22" s="726">
        <f t="shared" si="0"/>
        <v>73221.337499999994</v>
      </c>
      <c r="T22" s="726">
        <f t="shared" si="0"/>
        <v>45919.29075</v>
      </c>
      <c r="U22" s="726">
        <f t="shared" si="0"/>
        <v>0</v>
      </c>
      <c r="V22" s="726">
        <f t="shared" si="0"/>
        <v>505112.19825000007</v>
      </c>
      <c r="W22" s="342"/>
      <c r="X22" s="342"/>
    </row>
    <row r="23" spans="2:29">
      <c r="B23" s="21"/>
      <c r="C23" s="21"/>
      <c r="P23" s="21"/>
      <c r="Q23" s="22"/>
      <c r="R23" s="21"/>
      <c r="S23" s="21"/>
      <c r="T23" s="21"/>
      <c r="U23" s="21"/>
      <c r="V23" s="21"/>
      <c r="W23" s="341"/>
      <c r="X23" s="341"/>
    </row>
    <row r="24" spans="2:29" s="37" customFormat="1">
      <c r="D24" s="226" t="s">
        <v>303</v>
      </c>
      <c r="E24" s="226"/>
      <c r="L24" s="226" t="s">
        <v>603</v>
      </c>
      <c r="M24" s="738"/>
      <c r="N24" s="59"/>
      <c r="Q24" s="38"/>
      <c r="W24" s="342"/>
      <c r="X24" s="342"/>
      <c r="Y24" s="53"/>
      <c r="Z24" s="53"/>
      <c r="AA24" s="53"/>
      <c r="AB24" s="53"/>
      <c r="AC24" s="53"/>
    </row>
    <row r="25" spans="2:29" s="37" customFormat="1">
      <c r="C25" s="692"/>
      <c r="D25" s="226"/>
      <c r="E25" s="226"/>
      <c r="F25" s="226"/>
      <c r="G25" s="226"/>
      <c r="H25" s="695"/>
      <c r="I25" s="696"/>
      <c r="J25" s="695"/>
      <c r="K25" s="695"/>
      <c r="L25" s="226"/>
      <c r="M25" s="226"/>
      <c r="N25" s="59"/>
      <c r="Q25" s="38"/>
      <c r="W25" s="53"/>
      <c r="X25" s="53"/>
      <c r="Y25" s="53"/>
      <c r="Z25" s="53"/>
      <c r="AA25" s="53"/>
      <c r="AB25" s="53"/>
      <c r="AC25" s="53"/>
    </row>
    <row r="26" spans="2:29" s="37" customFormat="1">
      <c r="C26" s="692"/>
      <c r="D26" s="226" t="s">
        <v>474</v>
      </c>
      <c r="E26" s="226"/>
      <c r="F26" s="226"/>
      <c r="G26" s="226"/>
      <c r="H26" s="695"/>
      <c r="I26" s="696"/>
      <c r="J26" s="695"/>
      <c r="K26" s="695"/>
      <c r="L26" s="226" t="s">
        <v>595</v>
      </c>
      <c r="M26" s="226"/>
      <c r="N26" s="59"/>
      <c r="Q26" s="38"/>
      <c r="W26" s="53"/>
      <c r="X26" s="53"/>
      <c r="Y26" s="53"/>
      <c r="Z26" s="53"/>
      <c r="AA26" s="53"/>
      <c r="AB26" s="53"/>
      <c r="AC26" s="53"/>
    </row>
    <row r="27" spans="2:29" s="37" customFormat="1">
      <c r="C27" s="692"/>
      <c r="D27" s="226"/>
      <c r="E27" s="226"/>
      <c r="F27" s="226"/>
      <c r="G27" s="226"/>
      <c r="H27" s="695"/>
      <c r="I27" s="695"/>
      <c r="J27" s="695"/>
      <c r="K27" s="695"/>
      <c r="L27" s="226"/>
      <c r="M27" s="226"/>
      <c r="N27" s="33"/>
      <c r="Q27" s="38"/>
      <c r="W27" s="53"/>
      <c r="X27" s="53"/>
      <c r="Y27" s="53"/>
      <c r="Z27" s="53"/>
      <c r="AA27" s="53"/>
      <c r="AB27" s="53"/>
      <c r="AC27" s="53"/>
    </row>
    <row r="28" spans="2:29" s="37" customFormat="1">
      <c r="C28" s="692"/>
      <c r="D28" s="226" t="s">
        <v>572</v>
      </c>
      <c r="E28" s="226"/>
      <c r="F28" s="226"/>
      <c r="G28" s="226"/>
      <c r="H28" s="695"/>
      <c r="I28" s="695"/>
      <c r="J28" s="695"/>
      <c r="K28" s="695"/>
      <c r="L28" s="226" t="s">
        <v>610</v>
      </c>
      <c r="M28" s="226"/>
      <c r="N28" s="33"/>
      <c r="O28" s="901"/>
      <c r="Q28" s="38"/>
      <c r="T28" s="901"/>
      <c r="W28" s="53"/>
      <c r="X28" s="53"/>
      <c r="Y28" s="53"/>
      <c r="Z28" s="53"/>
      <c r="AA28" s="53"/>
      <c r="AB28" s="53"/>
      <c r="AC28" s="53"/>
    </row>
    <row r="29" spans="2:29" s="37" customFormat="1">
      <c r="C29" s="693"/>
      <c r="D29" s="226"/>
      <c r="E29" s="226"/>
      <c r="F29" s="226"/>
      <c r="G29" s="226"/>
      <c r="H29" s="695"/>
      <c r="I29" s="695"/>
      <c r="J29" s="695"/>
      <c r="K29" s="695"/>
      <c r="L29" s="695"/>
      <c r="M29" s="697"/>
      <c r="N29" s="694"/>
      <c r="Q29" s="38"/>
      <c r="W29" s="53"/>
      <c r="X29" s="53"/>
      <c r="Y29" s="53"/>
      <c r="Z29" s="53"/>
      <c r="AA29" s="53"/>
      <c r="AB29" s="53"/>
      <c r="AC29" s="53"/>
    </row>
    <row r="30" spans="2:29" s="37" customFormat="1">
      <c r="C30" s="694"/>
      <c r="D30" s="694"/>
      <c r="E30" s="699"/>
      <c r="F30" s="694"/>
      <c r="G30" s="694"/>
      <c r="H30" s="694"/>
      <c r="I30" s="694"/>
      <c r="J30" s="694"/>
      <c r="K30" s="694"/>
      <c r="L30" s="694"/>
      <c r="M30" s="698"/>
      <c r="N30" s="694"/>
      <c r="Q30" s="38"/>
      <c r="W30" s="53"/>
      <c r="X30" s="53"/>
      <c r="Y30" s="53"/>
      <c r="Z30" s="53"/>
      <c r="AA30" s="53"/>
      <c r="AB30" s="53"/>
      <c r="AC30" s="53"/>
    </row>
    <row r="31" spans="2:29" s="37" customFormat="1">
      <c r="Q31" s="38"/>
      <c r="W31" s="53"/>
      <c r="X31" s="53"/>
      <c r="Y31" s="53"/>
      <c r="Z31" s="53"/>
      <c r="AA31" s="53"/>
      <c r="AB31" s="53"/>
      <c r="AC31" s="53"/>
    </row>
    <row r="32" spans="2:29" s="37" customFormat="1">
      <c r="Q32" s="38"/>
      <c r="W32" s="53"/>
      <c r="X32" s="53"/>
      <c r="Y32" s="53"/>
      <c r="Z32" s="53"/>
      <c r="AA32" s="53"/>
      <c r="AB32" s="53"/>
      <c r="AC32" s="53"/>
    </row>
    <row r="33" spans="16:29" s="37" customFormat="1">
      <c r="Q33" s="38"/>
      <c r="W33" s="53"/>
      <c r="X33" s="53"/>
      <c r="Y33" s="53"/>
      <c r="Z33" s="53"/>
      <c r="AA33" s="53"/>
      <c r="AB33" s="53"/>
      <c r="AC33" s="53"/>
    </row>
    <row r="34" spans="16:29" s="37" customFormat="1">
      <c r="Q34" s="38"/>
      <c r="W34" s="53"/>
      <c r="X34" s="53"/>
      <c r="Y34" s="53"/>
      <c r="Z34" s="53"/>
      <c r="AA34" s="53"/>
      <c r="AB34" s="53"/>
      <c r="AC34" s="53"/>
    </row>
    <row r="35" spans="16:29" s="37" customFormat="1">
      <c r="Q35" s="38"/>
      <c r="W35" s="53"/>
      <c r="X35" s="53"/>
      <c r="Y35" s="53"/>
      <c r="Z35" s="53"/>
      <c r="AA35" s="53"/>
      <c r="AB35" s="53"/>
      <c r="AC35" s="53"/>
    </row>
    <row r="36" spans="16:29" s="37" customFormat="1">
      <c r="Q36" s="38"/>
      <c r="W36" s="53"/>
      <c r="X36" s="53"/>
      <c r="Y36" s="53"/>
      <c r="Z36" s="53"/>
      <c r="AA36" s="53"/>
      <c r="AB36" s="53"/>
      <c r="AC36" s="53"/>
    </row>
    <row r="37" spans="16:29" s="37" customFormat="1">
      <c r="Q37" s="38"/>
      <c r="W37" s="53"/>
      <c r="X37" s="53"/>
      <c r="Y37" s="53"/>
      <c r="Z37" s="53"/>
      <c r="AA37" s="53"/>
      <c r="AB37" s="53"/>
      <c r="AC37" s="53"/>
    </row>
    <row r="38" spans="16:29" s="37" customFormat="1">
      <c r="P38" s="32"/>
      <c r="Q38" s="58"/>
      <c r="R38" s="32"/>
      <c r="S38" s="32"/>
      <c r="T38" s="32"/>
      <c r="U38" s="32"/>
      <c r="V38" s="32"/>
      <c r="W38" s="53"/>
      <c r="X38" s="53"/>
      <c r="Y38" s="53"/>
      <c r="Z38" s="53"/>
      <c r="AA38" s="53"/>
      <c r="AB38" s="53"/>
      <c r="AC38" s="53"/>
    </row>
  </sheetData>
  <mergeCells count="15">
    <mergeCell ref="D4:W5"/>
    <mergeCell ref="I7:V7"/>
    <mergeCell ref="F9:S9"/>
    <mergeCell ref="H10:V10"/>
    <mergeCell ref="F11:V11"/>
    <mergeCell ref="Q14:Q16"/>
    <mergeCell ref="R14:R16"/>
    <mergeCell ref="S14:S16"/>
    <mergeCell ref="U14:U16"/>
    <mergeCell ref="V14:V16"/>
    <mergeCell ref="C14:C16"/>
    <mergeCell ref="D14:D16"/>
    <mergeCell ref="K14:K16"/>
    <mergeCell ref="O14:O16"/>
    <mergeCell ref="P14:P16"/>
  </mergeCells>
  <pageMargins left="0.23622047244094491" right="0.19685039370078741" top="1.5748031496062993" bottom="0.98425196850393704" header="1.5748031496062993" footer="0.51181102362204722"/>
  <pageSetup paperSize="9" scale="9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6" enableFormatConditionsCalculation="0"/>
  <dimension ref="A3:CE62"/>
  <sheetViews>
    <sheetView view="pageBreakPreview" zoomScale="90" zoomScaleSheetLayoutView="90" workbookViewId="0">
      <pane xSplit="17" ySplit="20" topLeftCell="AQ21" activePane="bottomRight" state="frozen"/>
      <selection activeCell="BK54" sqref="BK54"/>
      <selection pane="topRight" activeCell="BK54" sqref="BK54"/>
      <selection pane="bottomLeft" activeCell="BK54" sqref="BK54"/>
      <selection pane="bottomRight" activeCell="BB39" sqref="BB39"/>
    </sheetView>
  </sheetViews>
  <sheetFormatPr defaultRowHeight="8.25"/>
  <cols>
    <col min="1" max="1" width="3" style="74" customWidth="1"/>
    <col min="2" max="2" width="34.7109375" style="74" customWidth="1"/>
    <col min="3" max="3" width="9.42578125" style="74" customWidth="1"/>
    <col min="4" max="4" width="6.7109375" style="74" customWidth="1"/>
    <col min="5" max="5" width="11.42578125" style="74" hidden="1" customWidth="1"/>
    <col min="6" max="6" width="3.28515625" style="232" customWidth="1"/>
    <col min="7" max="7" width="6.42578125" style="74" customWidth="1"/>
    <col min="8" max="8" width="8.140625" style="74" customWidth="1"/>
    <col min="9" max="9" width="5.85546875" style="74" customWidth="1"/>
    <col min="10" max="11" width="6.140625" style="74" customWidth="1"/>
    <col min="12" max="12" width="3.42578125" style="74" hidden="1" customWidth="1"/>
    <col min="13" max="13" width="3.28515625" style="74" hidden="1" customWidth="1"/>
    <col min="14" max="14" width="5.28515625" style="234" customWidth="1"/>
    <col min="15" max="15" width="4.5703125" style="74" customWidth="1"/>
    <col min="16" max="16" width="5.140625" style="74" customWidth="1"/>
    <col min="17" max="17" width="5.28515625" style="74" customWidth="1"/>
    <col min="18" max="19" width="7.28515625" style="74" customWidth="1"/>
    <col min="20" max="20" width="7.42578125" style="74" customWidth="1"/>
    <col min="21" max="22" width="7.28515625" style="74" hidden="1" customWidth="1"/>
    <col min="23" max="23" width="7.28515625" style="274" customWidth="1"/>
    <col min="24" max="24" width="5.140625" style="274" customWidth="1"/>
    <col min="25" max="25" width="4.85546875" style="274" customWidth="1"/>
    <col min="26" max="26" width="6.7109375" style="274" customWidth="1"/>
    <col min="27" max="29" width="4.42578125" style="274" customWidth="1"/>
    <col min="30" max="30" width="3.85546875" style="274" customWidth="1"/>
    <col min="31" max="31" width="4.7109375" style="274" customWidth="1"/>
    <col min="32" max="32" width="4.5703125" style="274" customWidth="1"/>
    <col min="33" max="33" width="5" style="274" customWidth="1"/>
    <col min="34" max="34" width="4" style="274" customWidth="1"/>
    <col min="35" max="35" width="4.7109375" style="274" customWidth="1"/>
    <col min="36" max="36" width="10.5703125" style="274" customWidth="1"/>
    <col min="37" max="38" width="6.5703125" style="274" customWidth="1"/>
    <col min="39" max="39" width="5" style="274" customWidth="1"/>
    <col min="40" max="40" width="5.42578125" style="274" customWidth="1"/>
    <col min="41" max="41" width="5.140625" style="274" customWidth="1"/>
    <col min="42" max="42" width="3" style="274" customWidth="1"/>
    <col min="43" max="43" width="4.28515625" style="274" customWidth="1"/>
    <col min="44" max="44" width="3.5703125" style="274" customWidth="1"/>
    <col min="45" max="45" width="5.7109375" style="274" customWidth="1"/>
    <col min="46" max="46" width="3.5703125" style="274" customWidth="1"/>
    <col min="47" max="48" width="5.42578125" style="274" customWidth="1"/>
    <col min="49" max="49" width="5.140625" style="274" customWidth="1"/>
    <col min="50" max="50" width="6" style="274" customWidth="1"/>
    <col min="51" max="51" width="4.7109375" style="274" customWidth="1"/>
    <col min="52" max="53" width="4.85546875" style="274" customWidth="1"/>
    <col min="54" max="56" width="5.7109375" style="274" customWidth="1"/>
    <col min="57" max="57" width="7.28515625" style="274" customWidth="1"/>
    <col min="58" max="58" width="6.5703125" style="274" customWidth="1"/>
    <col min="59" max="59" width="4.140625" style="274" customWidth="1"/>
    <col min="60" max="60" width="5.42578125" style="274" customWidth="1"/>
    <col min="61" max="61" width="5.85546875" style="274" customWidth="1"/>
    <col min="62" max="62" width="10.42578125" style="274" customWidth="1"/>
    <col min="63" max="63" width="9.7109375" style="274" customWidth="1"/>
    <col min="64" max="64" width="9" style="73" customWidth="1"/>
    <col min="65" max="67" width="0" style="73" hidden="1" customWidth="1"/>
    <col min="68" max="68" width="7.5703125" style="73" hidden="1" customWidth="1"/>
    <col min="69" max="69" width="9.140625" style="73" hidden="1" customWidth="1"/>
    <col min="70" max="86" width="0" style="74" hidden="1" customWidth="1"/>
    <col min="87" max="16384" width="9.140625" style="74"/>
  </cols>
  <sheetData>
    <row r="3" spans="1:81">
      <c r="B3" s="231" t="s">
        <v>258</v>
      </c>
      <c r="C3" s="232"/>
      <c r="E3" s="1229" t="s">
        <v>151</v>
      </c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1229"/>
      <c r="T3" s="1229"/>
      <c r="U3" s="1229"/>
      <c r="V3" s="1229"/>
      <c r="W3" s="1229"/>
      <c r="X3" s="1229"/>
      <c r="Y3" s="1229"/>
      <c r="Z3" s="1229"/>
      <c r="AA3" s="1229"/>
      <c r="AB3" s="1229"/>
      <c r="AC3" s="1229"/>
      <c r="AD3" s="1229"/>
      <c r="AE3" s="1229"/>
      <c r="AF3" s="1229"/>
      <c r="AG3" s="1229"/>
      <c r="AH3" s="1229"/>
      <c r="AI3" s="1229"/>
      <c r="AJ3" s="1229"/>
      <c r="AK3" s="1229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1230" t="s">
        <v>305</v>
      </c>
      <c r="AX3" s="1231"/>
      <c r="AY3" s="1231"/>
      <c r="AZ3" s="1231"/>
      <c r="BA3" s="1232"/>
      <c r="BB3" s="71">
        <v>0</v>
      </c>
      <c r="BC3" s="71"/>
      <c r="BD3" s="71"/>
      <c r="BE3" s="71"/>
      <c r="BF3" s="233" t="s">
        <v>306</v>
      </c>
      <c r="BG3" s="233" t="s">
        <v>307</v>
      </c>
      <c r="BH3" s="233" t="s">
        <v>308</v>
      </c>
      <c r="BI3" s="71" t="s">
        <v>309</v>
      </c>
      <c r="BJ3" s="73"/>
      <c r="BK3" s="73"/>
      <c r="BQ3" s="74"/>
    </row>
    <row r="4" spans="1:81" ht="11.25">
      <c r="B4" s="395" t="s">
        <v>259</v>
      </c>
      <c r="C4" s="395"/>
      <c r="D4" s="20"/>
      <c r="E4" s="54"/>
      <c r="F4" s="31"/>
      <c r="G4" s="54"/>
      <c r="H4" s="54"/>
      <c r="I4" s="54"/>
      <c r="J4" s="20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1233" t="s">
        <v>311</v>
      </c>
      <c r="AX4" s="1234"/>
      <c r="AY4" s="1234"/>
      <c r="AZ4" s="1234"/>
      <c r="BA4" s="1235"/>
      <c r="BB4" s="16">
        <v>1</v>
      </c>
      <c r="BC4" s="16"/>
      <c r="BD4" s="16"/>
      <c r="BE4" s="16"/>
      <c r="BF4" s="16">
        <v>7</v>
      </c>
      <c r="BG4" s="16">
        <v>5</v>
      </c>
      <c r="BH4" s="16">
        <v>2</v>
      </c>
      <c r="BI4" s="16">
        <f t="shared" ref="BI4:BI9" si="0">BB4+BF4+BH4+BG4</f>
        <v>15</v>
      </c>
      <c r="BJ4" s="73"/>
      <c r="BK4" s="73"/>
      <c r="BQ4" s="74"/>
    </row>
    <row r="5" spans="1:81" ht="11.25">
      <c r="B5" s="31"/>
      <c r="C5" s="31"/>
      <c r="D5" s="20"/>
      <c r="E5" s="54"/>
      <c r="F5" s="31"/>
      <c r="G5" s="396"/>
      <c r="H5" s="397"/>
      <c r="I5" s="398" t="s">
        <v>483</v>
      </c>
      <c r="J5" s="20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1233" t="s">
        <v>312</v>
      </c>
      <c r="AX5" s="1234"/>
      <c r="AY5" s="1234"/>
      <c r="AZ5" s="1234"/>
      <c r="BA5" s="1235"/>
      <c r="BB5" s="16">
        <v>1</v>
      </c>
      <c r="BC5" s="16"/>
      <c r="BD5" s="16"/>
      <c r="BE5" s="16"/>
      <c r="BF5" s="16">
        <v>6</v>
      </c>
      <c r="BG5" s="16">
        <v>5</v>
      </c>
      <c r="BH5" s="16">
        <v>2</v>
      </c>
      <c r="BI5" s="16">
        <f t="shared" si="0"/>
        <v>14</v>
      </c>
      <c r="BJ5" s="73"/>
      <c r="BK5" s="73"/>
      <c r="BQ5" s="74"/>
    </row>
    <row r="6" spans="1:81" ht="11.25">
      <c r="B6" s="20" t="s">
        <v>260</v>
      </c>
      <c r="C6" s="20"/>
      <c r="D6" s="20"/>
      <c r="E6" s="20"/>
      <c r="F6" s="31"/>
      <c r="G6" s="396"/>
      <c r="H6" s="399" t="s">
        <v>108</v>
      </c>
      <c r="I6" s="119"/>
      <c r="J6" s="20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1233" t="s">
        <v>313</v>
      </c>
      <c r="AX6" s="1234"/>
      <c r="AY6" s="1234"/>
      <c r="AZ6" s="1234"/>
      <c r="BA6" s="1235"/>
      <c r="BB6" s="16">
        <v>15</v>
      </c>
      <c r="BC6" s="16"/>
      <c r="BD6" s="16"/>
      <c r="BE6" s="16"/>
      <c r="BF6" s="16">
        <v>54</v>
      </c>
      <c r="BG6" s="16">
        <v>47</v>
      </c>
      <c r="BH6" s="16">
        <v>16</v>
      </c>
      <c r="BI6" s="16">
        <f t="shared" si="0"/>
        <v>132</v>
      </c>
      <c r="BJ6" s="73"/>
      <c r="BK6" s="73"/>
      <c r="BQ6" s="74"/>
    </row>
    <row r="7" spans="1:81" ht="11.25">
      <c r="B7" s="31" t="s">
        <v>413</v>
      </c>
      <c r="C7" s="31"/>
      <c r="D7" s="20"/>
      <c r="E7" s="20"/>
      <c r="F7" s="31"/>
      <c r="G7" s="399"/>
      <c r="H7" s="119"/>
      <c r="I7" s="119"/>
      <c r="J7" s="20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1233" t="s">
        <v>314</v>
      </c>
      <c r="AX7" s="1234"/>
      <c r="AY7" s="1234"/>
      <c r="AZ7" s="1234"/>
      <c r="BA7" s="1235"/>
      <c r="BB7" s="16"/>
      <c r="BC7" s="16"/>
      <c r="BD7" s="16"/>
      <c r="BE7" s="16"/>
      <c r="BF7" s="16">
        <v>107</v>
      </c>
      <c r="BG7" s="16">
        <v>174</v>
      </c>
      <c r="BH7" s="16">
        <v>74</v>
      </c>
      <c r="BI7" s="16">
        <f t="shared" si="0"/>
        <v>355</v>
      </c>
      <c r="BJ7" s="73"/>
      <c r="BK7" s="73"/>
      <c r="BQ7" s="74"/>
    </row>
    <row r="8" spans="1:81" ht="11.25">
      <c r="B8" s="20"/>
      <c r="C8" s="20"/>
      <c r="D8" s="20"/>
      <c r="E8" s="20"/>
      <c r="F8" s="31"/>
      <c r="G8" s="31"/>
      <c r="H8" s="20"/>
      <c r="I8" s="20"/>
      <c r="J8" s="20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1233" t="s">
        <v>395</v>
      </c>
      <c r="AX8" s="1234"/>
      <c r="AY8" s="1234"/>
      <c r="AZ8" s="1234"/>
      <c r="BA8" s="1235"/>
      <c r="BB8" s="16"/>
      <c r="BC8" s="16"/>
      <c r="BD8" s="16"/>
      <c r="BE8" s="16"/>
      <c r="BF8" s="16"/>
      <c r="BG8" s="16"/>
      <c r="BH8" s="16"/>
      <c r="BI8" s="16">
        <f t="shared" si="0"/>
        <v>0</v>
      </c>
      <c r="BJ8" s="73"/>
      <c r="BK8" s="73"/>
      <c r="BQ8" s="74"/>
    </row>
    <row r="9" spans="1:81" ht="11.25">
      <c r="B9" s="20" t="s">
        <v>152</v>
      </c>
      <c r="C9" s="20"/>
      <c r="D9" s="20"/>
      <c r="E9" s="20"/>
      <c r="F9" s="31"/>
      <c r="G9" s="20"/>
      <c r="H9" s="20"/>
      <c r="I9" s="20"/>
      <c r="J9" s="20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1233" t="s">
        <v>316</v>
      </c>
      <c r="AX9" s="1234"/>
      <c r="AY9" s="1234"/>
      <c r="AZ9" s="1234"/>
      <c r="BA9" s="1235"/>
      <c r="BB9" s="16"/>
      <c r="BC9" s="16"/>
      <c r="BD9" s="16"/>
      <c r="BE9" s="16"/>
      <c r="BF9" s="16">
        <v>107</v>
      </c>
      <c r="BG9" s="16">
        <v>174</v>
      </c>
      <c r="BH9" s="16">
        <v>74</v>
      </c>
      <c r="BI9" s="16">
        <f t="shared" si="0"/>
        <v>355</v>
      </c>
      <c r="BJ9" s="73"/>
      <c r="BK9" s="73"/>
      <c r="BQ9" s="74"/>
    </row>
    <row r="10" spans="1:81" ht="10.5" customHeight="1">
      <c r="B10" s="232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3"/>
      <c r="AY10" s="1236" t="s">
        <v>318</v>
      </c>
      <c r="AZ10" s="1237"/>
      <c r="BA10" s="1237"/>
      <c r="BB10" s="1237"/>
      <c r="BC10" s="1237"/>
      <c r="BD10" s="1237"/>
      <c r="BE10" s="1237"/>
      <c r="BF10" s="1238"/>
      <c r="BG10" s="71"/>
      <c r="BH10" s="71"/>
      <c r="BI10" s="71"/>
      <c r="BJ10" s="71">
        <f t="shared" ref="BJ10:BK13" si="1">SUM(BG10:BI10)</f>
        <v>0</v>
      </c>
      <c r="BK10" s="71">
        <f t="shared" si="1"/>
        <v>0</v>
      </c>
    </row>
    <row r="11" spans="1:81" ht="11.25" customHeight="1"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3"/>
      <c r="AY11" s="1236" t="s">
        <v>319</v>
      </c>
      <c r="AZ11" s="1237"/>
      <c r="BA11" s="1237"/>
      <c r="BB11" s="1237"/>
      <c r="BC11" s="1237"/>
      <c r="BD11" s="1237"/>
      <c r="BE11" s="1237"/>
      <c r="BF11" s="1238"/>
      <c r="BG11" s="71"/>
      <c r="BH11" s="71"/>
      <c r="BI11" s="71"/>
      <c r="BJ11" s="71">
        <f t="shared" si="1"/>
        <v>0</v>
      </c>
      <c r="BK11" s="71">
        <f t="shared" si="1"/>
        <v>0</v>
      </c>
    </row>
    <row r="12" spans="1:81" ht="10.5" customHeight="1"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3"/>
      <c r="AY12" s="1236" t="s">
        <v>320</v>
      </c>
      <c r="AZ12" s="1237"/>
      <c r="BA12" s="1237"/>
      <c r="BB12" s="1237"/>
      <c r="BC12" s="1237"/>
      <c r="BD12" s="1237"/>
      <c r="BE12" s="1237"/>
      <c r="BF12" s="1238"/>
      <c r="BG12" s="71"/>
      <c r="BH12" s="71"/>
      <c r="BI12" s="71"/>
      <c r="BJ12" s="71">
        <f t="shared" si="1"/>
        <v>0</v>
      </c>
      <c r="BK12" s="71">
        <f t="shared" si="1"/>
        <v>0</v>
      </c>
    </row>
    <row r="13" spans="1:81" ht="12" customHeight="1">
      <c r="G13" s="74" t="s">
        <v>302</v>
      </c>
      <c r="K13" s="74" t="s">
        <v>302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3"/>
      <c r="AY13" s="1243" t="s">
        <v>321</v>
      </c>
      <c r="AZ13" s="1244"/>
      <c r="BA13" s="1244"/>
      <c r="BB13" s="1244"/>
      <c r="BC13" s="1244"/>
      <c r="BD13" s="1244"/>
      <c r="BE13" s="1244"/>
      <c r="BF13" s="1245"/>
      <c r="BG13" s="78"/>
      <c r="BH13" s="78"/>
      <c r="BI13" s="78">
        <v>0</v>
      </c>
      <c r="BJ13" s="78">
        <f t="shared" si="1"/>
        <v>0</v>
      </c>
      <c r="BK13" s="78">
        <f t="shared" si="1"/>
        <v>0</v>
      </c>
    </row>
    <row r="14" spans="1:81" s="430" customFormat="1" ht="36.75" customHeight="1">
      <c r="A14" s="431" t="s">
        <v>276</v>
      </c>
      <c r="B14" s="40"/>
      <c r="C14" s="40" t="s">
        <v>339</v>
      </c>
      <c r="D14" s="1246"/>
      <c r="E14" s="40" t="s">
        <v>116</v>
      </c>
      <c r="F14" s="1248"/>
      <c r="G14" s="432" t="s">
        <v>278</v>
      </c>
      <c r="H14" s="40" t="s">
        <v>279</v>
      </c>
      <c r="I14" s="1248"/>
      <c r="J14" s="1250"/>
      <c r="K14" s="40" t="s">
        <v>280</v>
      </c>
      <c r="L14" s="432" t="s">
        <v>416</v>
      </c>
      <c r="M14" s="40" t="s">
        <v>416</v>
      </c>
      <c r="N14" s="433" t="s">
        <v>341</v>
      </c>
      <c r="O14" s="428" t="s">
        <v>342</v>
      </c>
      <c r="P14" s="428" t="s">
        <v>343</v>
      </c>
      <c r="Q14" s="428" t="s">
        <v>154</v>
      </c>
      <c r="R14" s="427" t="s">
        <v>342</v>
      </c>
      <c r="S14" s="427" t="s">
        <v>343</v>
      </c>
      <c r="T14" s="427" t="s">
        <v>344</v>
      </c>
      <c r="U14" s="427"/>
      <c r="V14" s="427"/>
      <c r="W14" s="1252" t="s">
        <v>345</v>
      </c>
      <c r="X14" s="41"/>
      <c r="Y14" s="42"/>
      <c r="Z14" s="42"/>
      <c r="AA14" s="43"/>
      <c r="AB14" s="42"/>
      <c r="AC14" s="42"/>
      <c r="AD14" s="1253" t="s">
        <v>334</v>
      </c>
      <c r="AE14" s="1253"/>
      <c r="AF14" s="1253"/>
      <c r="AG14" s="1253"/>
      <c r="AH14" s="1253"/>
      <c r="AI14" s="1253"/>
      <c r="AJ14" s="683" t="s">
        <v>443</v>
      </c>
      <c r="AK14" s="684"/>
      <c r="AL14" s="684"/>
      <c r="AM14" s="684"/>
      <c r="AN14" s="684"/>
      <c r="AO14" s="685"/>
      <c r="AP14" s="1255" t="s">
        <v>567</v>
      </c>
      <c r="AQ14" s="1256"/>
      <c r="AR14" s="1256"/>
      <c r="AS14" s="1256"/>
      <c r="AT14" s="1256"/>
      <c r="AU14" s="1257"/>
      <c r="AV14" s="1258" t="s">
        <v>566</v>
      </c>
      <c r="AW14" s="1258"/>
      <c r="AX14" s="1258"/>
      <c r="AY14" s="1258"/>
      <c r="AZ14" s="1258"/>
      <c r="BA14" s="1258"/>
      <c r="BB14" s="1268"/>
      <c r="BC14" s="416" t="s">
        <v>54</v>
      </c>
      <c r="BD14" s="416" t="s">
        <v>55</v>
      </c>
      <c r="BE14" s="1239"/>
      <c r="BF14" s="1241" t="s">
        <v>338</v>
      </c>
      <c r="BG14" s="1163" t="s">
        <v>65</v>
      </c>
      <c r="BH14" s="1241" t="s">
        <v>66</v>
      </c>
      <c r="BI14" s="1267"/>
      <c r="BJ14" s="1267"/>
      <c r="BK14" s="429"/>
      <c r="BL14" s="429"/>
      <c r="BM14" s="429"/>
      <c r="BN14" s="429"/>
      <c r="BO14" s="429"/>
      <c r="BP14" s="429"/>
    </row>
    <row r="15" spans="1:81" s="430" customFormat="1" ht="11.25" customHeight="1">
      <c r="A15" s="434"/>
      <c r="B15" s="435"/>
      <c r="C15" s="435"/>
      <c r="D15" s="1247"/>
      <c r="E15" s="435"/>
      <c r="F15" s="1249"/>
      <c r="G15" s="436" t="s">
        <v>283</v>
      </c>
      <c r="H15" s="435"/>
      <c r="I15" s="1249"/>
      <c r="J15" s="1251"/>
      <c r="K15" s="435" t="s">
        <v>284</v>
      </c>
      <c r="L15" s="436">
        <v>18</v>
      </c>
      <c r="M15" s="435">
        <v>20</v>
      </c>
      <c r="N15" s="437"/>
      <c r="O15" s="438"/>
      <c r="P15" s="438"/>
      <c r="Q15" s="438"/>
      <c r="R15" s="439"/>
      <c r="S15" s="439"/>
      <c r="T15" s="439"/>
      <c r="U15" s="440">
        <v>0.05</v>
      </c>
      <c r="V15" s="440">
        <v>0.15</v>
      </c>
      <c r="W15" s="1252"/>
      <c r="X15" s="45">
        <v>0.1</v>
      </c>
      <c r="Y15" s="45">
        <v>0.2</v>
      </c>
      <c r="Z15" s="319">
        <v>0.125</v>
      </c>
      <c r="AA15" s="45">
        <v>0.25</v>
      </c>
      <c r="AB15" s="45" t="s">
        <v>434</v>
      </c>
      <c r="AC15" s="45" t="s">
        <v>434</v>
      </c>
      <c r="AD15" s="1259" t="s">
        <v>349</v>
      </c>
      <c r="AE15" s="1260"/>
      <c r="AF15" s="1259" t="s">
        <v>350</v>
      </c>
      <c r="AG15" s="1260"/>
      <c r="AH15" s="1259" t="s">
        <v>344</v>
      </c>
      <c r="AI15" s="1260"/>
      <c r="AJ15" s="1261" t="s">
        <v>349</v>
      </c>
      <c r="AK15" s="1261"/>
      <c r="AL15" s="1254" t="s">
        <v>350</v>
      </c>
      <c r="AM15" s="1254"/>
      <c r="AN15" s="1254" t="s">
        <v>344</v>
      </c>
      <c r="AO15" s="1254"/>
      <c r="AP15" s="1262" t="s">
        <v>349</v>
      </c>
      <c r="AQ15" s="1263"/>
      <c r="AR15" s="1254" t="s">
        <v>350</v>
      </c>
      <c r="AS15" s="1254"/>
      <c r="AT15" s="1254" t="s">
        <v>344</v>
      </c>
      <c r="AU15" s="1254"/>
      <c r="AV15" s="1261" t="s">
        <v>349</v>
      </c>
      <c r="AW15" s="1261"/>
      <c r="AX15" s="1254" t="s">
        <v>350</v>
      </c>
      <c r="AY15" s="1254"/>
      <c r="AZ15" s="1254" t="s">
        <v>344</v>
      </c>
      <c r="BA15" s="1270"/>
      <c r="BB15" s="1268"/>
      <c r="BC15" s="416"/>
      <c r="BD15" s="416"/>
      <c r="BE15" s="1239"/>
      <c r="BF15" s="1242"/>
      <c r="BG15" s="1164"/>
      <c r="BH15" s="1242"/>
      <c r="BI15" s="1267"/>
      <c r="BJ15" s="1267"/>
      <c r="BK15" s="429"/>
      <c r="BL15" s="429"/>
      <c r="BM15" s="429"/>
      <c r="BN15" s="429"/>
      <c r="BO15" s="429"/>
      <c r="BP15" s="429"/>
    </row>
    <row r="16" spans="1:81" s="450" customFormat="1" ht="14.25" customHeight="1">
      <c r="A16" s="441">
        <v>1</v>
      </c>
      <c r="B16" s="442">
        <v>2</v>
      </c>
      <c r="C16" s="442">
        <v>3</v>
      </c>
      <c r="D16" s="442">
        <v>4</v>
      </c>
      <c r="E16" s="442"/>
      <c r="F16" s="442"/>
      <c r="G16" s="442">
        <v>5</v>
      </c>
      <c r="H16" s="442">
        <v>6</v>
      </c>
      <c r="I16" s="442"/>
      <c r="J16" s="442"/>
      <c r="K16" s="435">
        <v>7</v>
      </c>
      <c r="L16" s="442"/>
      <c r="M16" s="443"/>
      <c r="N16" s="444"/>
      <c r="O16" s="442">
        <v>8</v>
      </c>
      <c r="P16" s="442">
        <v>9</v>
      </c>
      <c r="Q16" s="445">
        <v>10</v>
      </c>
      <c r="R16" s="442">
        <v>11</v>
      </c>
      <c r="S16" s="442">
        <v>12</v>
      </c>
      <c r="T16" s="442">
        <v>13</v>
      </c>
      <c r="U16" s="440">
        <v>0.05</v>
      </c>
      <c r="V16" s="443"/>
      <c r="W16" s="1252"/>
      <c r="X16" s="45"/>
      <c r="Y16" s="45"/>
      <c r="Z16" s="319"/>
      <c r="AA16" s="45"/>
      <c r="AB16" s="446">
        <v>0.15</v>
      </c>
      <c r="AC16" s="446">
        <v>0.3</v>
      </c>
      <c r="AD16" s="447">
        <v>0.5</v>
      </c>
      <c r="AE16" s="448">
        <v>1</v>
      </c>
      <c r="AF16" s="448">
        <v>0.5</v>
      </c>
      <c r="AG16" s="448">
        <v>1</v>
      </c>
      <c r="AH16" s="448">
        <v>0.5</v>
      </c>
      <c r="AI16" s="448">
        <v>1</v>
      </c>
      <c r="AJ16" s="448">
        <v>0.5</v>
      </c>
      <c r="AK16" s="448">
        <v>1</v>
      </c>
      <c r="AL16" s="448">
        <v>0.5</v>
      </c>
      <c r="AM16" s="448">
        <v>1</v>
      </c>
      <c r="AN16" s="448">
        <v>0.5</v>
      </c>
      <c r="AO16" s="448">
        <v>1</v>
      </c>
      <c r="AP16" s="120" t="s">
        <v>351</v>
      </c>
      <c r="AQ16" s="120" t="s">
        <v>352</v>
      </c>
      <c r="AR16" s="120" t="s">
        <v>351</v>
      </c>
      <c r="AS16" s="120" t="s">
        <v>352</v>
      </c>
      <c r="AT16" s="120" t="s">
        <v>351</v>
      </c>
      <c r="AU16" s="120" t="s">
        <v>352</v>
      </c>
      <c r="AV16" s="448">
        <v>0.5</v>
      </c>
      <c r="AW16" s="448">
        <v>1</v>
      </c>
      <c r="AX16" s="448">
        <v>0.5</v>
      </c>
      <c r="AY16" s="448">
        <v>1</v>
      </c>
      <c r="AZ16" s="448">
        <v>0.5</v>
      </c>
      <c r="BA16" s="449">
        <v>1</v>
      </c>
      <c r="BB16" s="1269"/>
      <c r="BC16" s="46"/>
      <c r="BD16" s="46"/>
      <c r="BE16" s="1240"/>
      <c r="BF16" s="120" t="s">
        <v>198</v>
      </c>
      <c r="BG16" s="1164"/>
      <c r="BH16" s="120" t="s">
        <v>352</v>
      </c>
      <c r="BI16" s="1267"/>
      <c r="BJ16" s="1267"/>
      <c r="CC16" s="450" t="s">
        <v>327</v>
      </c>
    </row>
    <row r="17" spans="1:83" s="246" customFormat="1" ht="12" hidden="1" customHeight="1">
      <c r="A17" s="235"/>
      <c r="C17" s="235"/>
      <c r="E17" s="235"/>
      <c r="H17" s="235"/>
      <c r="L17" s="78"/>
      <c r="M17" s="73"/>
      <c r="N17" s="247"/>
      <c r="O17" s="235"/>
      <c r="P17" s="79"/>
      <c r="Q17" s="236"/>
      <c r="R17" s="248"/>
      <c r="S17" s="249"/>
      <c r="T17" s="248"/>
      <c r="U17" s="77"/>
      <c r="W17" s="250"/>
      <c r="X17" s="239">
        <v>0.1</v>
      </c>
      <c r="Y17" s="239">
        <v>0.2</v>
      </c>
      <c r="Z17" s="240">
        <v>0.125</v>
      </c>
      <c r="AA17" s="239">
        <v>0.25</v>
      </c>
      <c r="AB17" s="72">
        <v>0.15</v>
      </c>
      <c r="AC17" s="72">
        <v>0.3</v>
      </c>
      <c r="AD17" s="251"/>
      <c r="AE17" s="252"/>
      <c r="AF17" s="253"/>
      <c r="AG17" s="253"/>
      <c r="AH17" s="253"/>
      <c r="AI17" s="253"/>
      <c r="AJ17" s="254"/>
      <c r="AK17" s="253"/>
      <c r="AL17" s="253"/>
      <c r="AM17" s="253"/>
      <c r="AN17" s="254"/>
      <c r="AO17" s="253"/>
      <c r="AP17" s="255"/>
      <c r="AQ17" s="253"/>
      <c r="AR17" s="255"/>
      <c r="AS17" s="256"/>
      <c r="AT17" s="243"/>
      <c r="AU17" s="256"/>
      <c r="AV17" s="242"/>
      <c r="AW17" s="257"/>
      <c r="AX17" s="258"/>
      <c r="AY17" s="257"/>
      <c r="AZ17" s="258"/>
      <c r="BA17" s="244"/>
      <c r="BB17" s="241"/>
      <c r="BC17" s="241"/>
      <c r="BD17" s="241"/>
      <c r="BE17" s="241"/>
      <c r="BF17" s="241"/>
      <c r="BG17" s="1165"/>
      <c r="BH17" s="259"/>
      <c r="BI17" s="245"/>
      <c r="BJ17" s="238"/>
      <c r="BK17" s="238"/>
    </row>
    <row r="18" spans="1:83" s="246" customFormat="1" ht="12.75" hidden="1" customHeight="1">
      <c r="A18" s="235"/>
      <c r="C18" s="235"/>
      <c r="E18" s="235"/>
      <c r="H18" s="235"/>
      <c r="L18" s="78"/>
      <c r="M18" s="260"/>
      <c r="N18" s="261"/>
      <c r="O18" s="235"/>
      <c r="P18" s="79"/>
      <c r="Q18" s="236"/>
      <c r="R18" s="248"/>
      <c r="S18" s="249"/>
      <c r="T18" s="248"/>
      <c r="U18" s="77"/>
      <c r="W18" s="250"/>
      <c r="X18" s="239">
        <v>0.1</v>
      </c>
      <c r="Y18" s="239">
        <v>0.2</v>
      </c>
      <c r="Z18" s="240">
        <v>0.125</v>
      </c>
      <c r="AA18" s="239">
        <v>0.25</v>
      </c>
      <c r="AB18" s="72">
        <v>0.15</v>
      </c>
      <c r="AC18" s="72">
        <v>0.3</v>
      </c>
      <c r="AD18" s="251"/>
      <c r="AE18" s="252"/>
      <c r="AF18" s="253"/>
      <c r="AG18" s="253"/>
      <c r="AH18" s="253"/>
      <c r="AI18" s="253"/>
      <c r="AJ18" s="254"/>
      <c r="AK18" s="253"/>
      <c r="AL18" s="253"/>
      <c r="AM18" s="262"/>
      <c r="AN18" s="254"/>
      <c r="AO18" s="253"/>
      <c r="AP18" s="255"/>
      <c r="AQ18" s="255"/>
      <c r="AR18" s="255"/>
      <c r="AS18" s="243"/>
      <c r="AT18" s="243"/>
      <c r="AU18" s="243"/>
      <c r="AV18" s="242"/>
      <c r="AW18" s="257"/>
      <c r="AX18" s="258"/>
      <c r="AY18" s="257"/>
      <c r="AZ18" s="258"/>
      <c r="BA18" s="244"/>
      <c r="BB18" s="241"/>
      <c r="BC18" s="241"/>
      <c r="BD18" s="241"/>
      <c r="BE18" s="241"/>
      <c r="BF18" s="241"/>
      <c r="BG18" s="259"/>
      <c r="BH18" s="259"/>
      <c r="BI18" s="245"/>
      <c r="BJ18" s="238"/>
      <c r="BK18" s="238"/>
    </row>
    <row r="19" spans="1:83" s="246" customFormat="1" ht="10.5" hidden="1" customHeight="1">
      <c r="A19" s="235"/>
      <c r="B19" s="246" t="s">
        <v>285</v>
      </c>
      <c r="C19" s="235"/>
      <c r="E19" s="235"/>
      <c r="H19" s="235"/>
      <c r="J19" s="246">
        <v>6600</v>
      </c>
      <c r="K19" s="246">
        <v>15000</v>
      </c>
      <c r="L19" s="71">
        <v>18</v>
      </c>
      <c r="M19" s="71">
        <v>20</v>
      </c>
      <c r="N19" s="263"/>
      <c r="O19" s="235"/>
      <c r="P19" s="79"/>
      <c r="Q19" s="236"/>
      <c r="R19" s="248"/>
      <c r="S19" s="249"/>
      <c r="T19" s="248"/>
      <c r="U19" s="77"/>
      <c r="W19" s="250"/>
      <c r="X19" s="239">
        <v>0.1</v>
      </c>
      <c r="Y19" s="239">
        <v>0.2</v>
      </c>
      <c r="Z19" s="240">
        <v>0.125</v>
      </c>
      <c r="AA19" s="239">
        <v>0.25</v>
      </c>
      <c r="AB19" s="72">
        <v>0.15</v>
      </c>
      <c r="AC19" s="72">
        <v>0.3</v>
      </c>
      <c r="AD19" s="251"/>
      <c r="AE19" s="252"/>
      <c r="AF19" s="253">
        <v>1</v>
      </c>
      <c r="AG19" s="253">
        <v>1</v>
      </c>
      <c r="AH19" s="253">
        <v>1</v>
      </c>
      <c r="AI19" s="253">
        <v>1</v>
      </c>
      <c r="AJ19" s="254">
        <f>J19*X19</f>
        <v>660</v>
      </c>
      <c r="AK19" s="253">
        <f>J19*Y19</f>
        <v>1320</v>
      </c>
      <c r="AL19" s="253">
        <f>J19*X19/L19*AF19</f>
        <v>36.666666666666664</v>
      </c>
      <c r="AM19" s="253">
        <f>J19*Y19/L19*AG19</f>
        <v>73.333333333333329</v>
      </c>
      <c r="AN19" s="254">
        <f>J19*X19/L19*AH19</f>
        <v>36.666666666666664</v>
      </c>
      <c r="AO19" s="253">
        <f>J19*Y19/L19*AI19</f>
        <v>73.333333333333329</v>
      </c>
      <c r="AP19" s="255"/>
      <c r="AQ19" s="255"/>
      <c r="AR19" s="255"/>
      <c r="AS19" s="243"/>
      <c r="AT19" s="243"/>
      <c r="AU19" s="243"/>
      <c r="AV19" s="242"/>
      <c r="AW19" s="257"/>
      <c r="AX19" s="258"/>
      <c r="AY19" s="257"/>
      <c r="AZ19" s="258"/>
      <c r="BA19" s="244"/>
      <c r="BB19" s="241"/>
      <c r="BC19" s="241"/>
      <c r="BD19" s="241"/>
      <c r="BE19" s="241"/>
      <c r="BF19" s="241"/>
      <c r="BG19" s="259"/>
      <c r="BH19" s="259"/>
      <c r="BI19" s="245"/>
      <c r="BJ19" s="238"/>
      <c r="BK19" s="238"/>
    </row>
    <row r="20" spans="1:83" s="246" customFormat="1" ht="10.5" hidden="1" customHeight="1">
      <c r="A20" s="235"/>
      <c r="B20" s="246" t="s">
        <v>286</v>
      </c>
      <c r="C20" s="235"/>
      <c r="E20" s="235"/>
      <c r="H20" s="235"/>
      <c r="J20" s="246">
        <v>6600</v>
      </c>
      <c r="K20" s="246">
        <v>15000</v>
      </c>
      <c r="L20" s="75">
        <v>18</v>
      </c>
      <c r="M20" s="73">
        <v>20</v>
      </c>
      <c r="N20" s="247"/>
      <c r="O20" s="235"/>
      <c r="P20" s="79"/>
      <c r="Q20" s="236"/>
      <c r="R20" s="248"/>
      <c r="S20" s="249"/>
      <c r="T20" s="248"/>
      <c r="U20" s="76"/>
      <c r="W20" s="264"/>
      <c r="X20" s="239">
        <v>0.1</v>
      </c>
      <c r="Y20" s="239">
        <v>0.2</v>
      </c>
      <c r="Z20" s="240">
        <v>0.125</v>
      </c>
      <c r="AA20" s="239">
        <v>0.25</v>
      </c>
      <c r="AB20" s="265">
        <v>0.15</v>
      </c>
      <c r="AC20" s="265">
        <v>0.3</v>
      </c>
      <c r="AD20" s="266">
        <v>1</v>
      </c>
      <c r="AE20" s="252">
        <v>1</v>
      </c>
      <c r="AF20" s="253">
        <v>1</v>
      </c>
      <c r="AG20" s="253">
        <v>1</v>
      </c>
      <c r="AH20" s="253">
        <v>1</v>
      </c>
      <c r="AI20" s="253">
        <v>1</v>
      </c>
      <c r="AJ20" s="254">
        <f>J20*Z20/M20*AD20</f>
        <v>41.25</v>
      </c>
      <c r="AK20" s="253">
        <f>J20*AA20/M20*AE20</f>
        <v>82.5</v>
      </c>
      <c r="AL20" s="253">
        <f>J20*Z20/L20*AF20</f>
        <v>45.833333333333336</v>
      </c>
      <c r="AM20" s="253">
        <f>J20*AA20/L20*AG20</f>
        <v>91.666666666666671</v>
      </c>
      <c r="AN20" s="254">
        <f>J20*Z20/L20*AH20</f>
        <v>45.833333333333336</v>
      </c>
      <c r="AO20" s="253">
        <f>J20*AA20/L20*AI20</f>
        <v>91.666666666666671</v>
      </c>
      <c r="AP20" s="255">
        <v>1</v>
      </c>
      <c r="AQ20" s="253">
        <f>J20*AA20/M20*AP20</f>
        <v>82.5</v>
      </c>
      <c r="AR20" s="255">
        <v>1</v>
      </c>
      <c r="AS20" s="253">
        <f>J20*AA20/L20*AR20</f>
        <v>91.666666666666671</v>
      </c>
      <c r="AT20" s="255">
        <v>1</v>
      </c>
      <c r="AU20" s="253">
        <f>J20*AA20/L20*AT20</f>
        <v>91.666666666666671</v>
      </c>
      <c r="AV20" s="262">
        <f>J20*Z20</f>
        <v>825</v>
      </c>
      <c r="AW20" s="267">
        <f>J20*AA20</f>
        <v>1650</v>
      </c>
      <c r="AX20" s="262">
        <f>J20*AB20</f>
        <v>990</v>
      </c>
      <c r="AY20" s="267">
        <f>J20*AC20</f>
        <v>1980</v>
      </c>
      <c r="AZ20" s="262">
        <f>J20*AB20</f>
        <v>990</v>
      </c>
      <c r="BA20" s="268">
        <f>J20*AC20</f>
        <v>1980</v>
      </c>
      <c r="BB20" s="269"/>
      <c r="BC20" s="269"/>
      <c r="BD20" s="269"/>
      <c r="BE20" s="269"/>
      <c r="BF20" s="270">
        <f>J20*Y20</f>
        <v>1320</v>
      </c>
      <c r="BG20" s="271"/>
      <c r="BH20" s="271"/>
      <c r="BI20" s="255"/>
      <c r="BJ20" s="237"/>
      <c r="BK20" s="237"/>
    </row>
    <row r="21" spans="1:83" s="408" customFormat="1" ht="12" hidden="1" customHeight="1">
      <c r="A21" s="393"/>
      <c r="B21" s="504"/>
      <c r="C21" s="504"/>
      <c r="D21" s="504"/>
      <c r="E21" s="394"/>
      <c r="F21" s="394"/>
      <c r="G21" s="504"/>
      <c r="H21" s="394"/>
      <c r="I21" s="505"/>
      <c r="J21" s="393"/>
      <c r="K21" s="506"/>
      <c r="L21" s="115"/>
      <c r="M21" s="115"/>
      <c r="N21" s="323"/>
      <c r="O21" s="394"/>
      <c r="P21" s="393"/>
      <c r="Q21" s="394"/>
      <c r="R21" s="506"/>
      <c r="S21" s="506"/>
      <c r="T21" s="506"/>
      <c r="U21" s="323"/>
      <c r="V21" s="507"/>
      <c r="W21" s="347"/>
      <c r="X21" s="508"/>
      <c r="Y21" s="508"/>
      <c r="Z21" s="509"/>
      <c r="AA21" s="508"/>
      <c r="AB21" s="323"/>
      <c r="AC21" s="323"/>
      <c r="AD21" s="510"/>
      <c r="AE21" s="510"/>
      <c r="AF21" s="510"/>
      <c r="AG21" s="510"/>
      <c r="AH21" s="510"/>
      <c r="AI21" s="510"/>
      <c r="AJ21" s="510"/>
      <c r="AK21" s="510"/>
      <c r="AL21" s="511"/>
      <c r="AM21" s="511"/>
      <c r="AN21" s="512"/>
      <c r="AO21" s="511"/>
      <c r="AP21" s="489"/>
      <c r="AQ21" s="510"/>
      <c r="AR21" s="489"/>
      <c r="AS21" s="510"/>
      <c r="AT21" s="489"/>
      <c r="AU21" s="510"/>
      <c r="AV21" s="513"/>
      <c r="AW21" s="513"/>
      <c r="AX21" s="513"/>
      <c r="AY21" s="513"/>
      <c r="AZ21" s="513"/>
      <c r="BA21" s="513"/>
      <c r="BB21" s="514"/>
      <c r="BC21" s="515"/>
      <c r="BD21" s="514"/>
      <c r="BE21" s="93"/>
      <c r="BF21" s="515"/>
      <c r="BG21" s="489"/>
      <c r="BH21" s="489"/>
      <c r="BI21" s="489"/>
      <c r="BJ21" s="116"/>
      <c r="BK21" s="116"/>
      <c r="BL21" s="487"/>
      <c r="CD21" s="344" t="s">
        <v>355</v>
      </c>
      <c r="CE21" s="407">
        <v>0.1</v>
      </c>
    </row>
    <row r="22" spans="1:83" s="408" customFormat="1" ht="12" customHeight="1">
      <c r="A22" s="393">
        <v>2</v>
      </c>
      <c r="B22" s="504" t="s">
        <v>155</v>
      </c>
      <c r="C22" s="504" t="s">
        <v>394</v>
      </c>
      <c r="D22" s="504" t="s">
        <v>403</v>
      </c>
      <c r="E22" s="394"/>
      <c r="F22" s="394">
        <v>9</v>
      </c>
      <c r="G22" s="504" t="s">
        <v>422</v>
      </c>
      <c r="H22" s="394" t="s">
        <v>374</v>
      </c>
      <c r="I22" s="505">
        <f>P22/L22</f>
        <v>0.44444444444444442</v>
      </c>
      <c r="J22" s="393">
        <v>17697</v>
      </c>
      <c r="K22" s="506">
        <v>50083</v>
      </c>
      <c r="L22" s="115">
        <v>18</v>
      </c>
      <c r="M22" s="115">
        <v>18</v>
      </c>
      <c r="N22" s="323">
        <v>0.5</v>
      </c>
      <c r="O22" s="394"/>
      <c r="P22" s="393">
        <v>8</v>
      </c>
      <c r="Q22" s="394">
        <v>1</v>
      </c>
      <c r="R22" s="506">
        <f t="shared" ref="R22:R47" si="2">K22/L22*O22</f>
        <v>0</v>
      </c>
      <c r="S22" s="506">
        <f t="shared" ref="S22:S47" si="3">K22/L22*P22</f>
        <v>22259.111111111109</v>
      </c>
      <c r="T22" s="506">
        <f t="shared" ref="T22:T47" si="4">K22/L22*Q22</f>
        <v>2782.3888888888887</v>
      </c>
      <c r="U22" s="323">
        <v>0.05</v>
      </c>
      <c r="V22" s="507">
        <v>0.15</v>
      </c>
      <c r="W22" s="347">
        <f>(R22+S22+T22)*25%</f>
        <v>6260.375</v>
      </c>
      <c r="X22" s="508">
        <v>0.1</v>
      </c>
      <c r="Y22" s="508">
        <v>0.2</v>
      </c>
      <c r="Z22" s="509">
        <v>0.125</v>
      </c>
      <c r="AA22" s="508">
        <v>0.25</v>
      </c>
      <c r="AB22" s="323">
        <v>0.15</v>
      </c>
      <c r="AC22" s="323">
        <v>0.3</v>
      </c>
      <c r="AD22" s="510"/>
      <c r="AE22" s="510"/>
      <c r="AF22" s="510">
        <v>8</v>
      </c>
      <c r="AG22" s="510"/>
      <c r="AH22" s="510">
        <v>1</v>
      </c>
      <c r="AI22" s="510"/>
      <c r="AJ22" s="510"/>
      <c r="AK22" s="510"/>
      <c r="AL22" s="511">
        <f t="shared" ref="AL22:AL32" si="5">J22*X22/L22*AF22</f>
        <v>786.5333333333333</v>
      </c>
      <c r="AM22" s="511">
        <f t="shared" ref="AM22:AM32" si="6">J22*Y22/L22*AG22</f>
        <v>0</v>
      </c>
      <c r="AN22" s="512">
        <f t="shared" ref="AN22:AN32" si="7">J22*X22/L22*AH22</f>
        <v>98.316666666666663</v>
      </c>
      <c r="AO22" s="511">
        <f t="shared" ref="AO22:AO27" si="8">J22*Y22/L22*AI22</f>
        <v>0</v>
      </c>
      <c r="AP22" s="489"/>
      <c r="AQ22" s="510"/>
      <c r="AR22" s="489"/>
      <c r="AS22" s="510">
        <f>J22*AA22/L22*AR22</f>
        <v>0</v>
      </c>
      <c r="AT22" s="489"/>
      <c r="AU22" s="510"/>
      <c r="AV22" s="513"/>
      <c r="AW22" s="513"/>
      <c r="AX22" s="513"/>
      <c r="AY22" s="513"/>
      <c r="AZ22" s="513"/>
      <c r="BA22" s="513"/>
      <c r="BB22" s="514"/>
      <c r="BC22" s="515">
        <f>17697*15%/18*7</f>
        <v>1032.325</v>
      </c>
      <c r="BD22" s="490">
        <f>BE22-BC22</f>
        <v>3391.9250000000002</v>
      </c>
      <c r="BE22" s="93">
        <f t="shared" ref="BE22:BE47" si="9">(J22*N22)/L22*(O22+P22+Q22)</f>
        <v>4424.25</v>
      </c>
      <c r="BF22" s="515"/>
      <c r="BG22" s="489"/>
      <c r="BH22" s="489"/>
      <c r="BI22" s="489"/>
      <c r="BJ22" s="116">
        <f t="shared" ref="BJ22:BJ47" si="10">R22+S22+T22+W22+AJ22+AK22+AL22+AM22+AN22+AO22+AQ22+AS22+AU22+AV22+AW22+AX22+AY22+AZ22+BA22+BB22+BF22+BI22+BE22</f>
        <v>36610.974999999999</v>
      </c>
      <c r="BK22" s="116">
        <f t="shared" ref="BK22:BK47" si="11">S22+T22+U22+X22+AK22+AL22+AM22+AN22+AO22+AQ22+AS22+AU22+AV22+AW22+AX22+AY22+AZ22+BA22+BB22+BD22+BG22+BF22+R22+AJ22+W22</f>
        <v>35578.799999999996</v>
      </c>
      <c r="BL22" s="487">
        <f t="shared" ref="BL22:BL47" si="12">BJ22-BK22</f>
        <v>1032.1750000000029</v>
      </c>
      <c r="CD22" s="344" t="s">
        <v>374</v>
      </c>
      <c r="CE22" s="407">
        <v>0.17</v>
      </c>
    </row>
    <row r="23" spans="1:83" s="410" customFormat="1" ht="12" customHeight="1">
      <c r="A23" s="393">
        <v>3</v>
      </c>
      <c r="B23" s="115" t="s">
        <v>157</v>
      </c>
      <c r="C23" s="504" t="s">
        <v>444</v>
      </c>
      <c r="D23" s="504" t="s">
        <v>403</v>
      </c>
      <c r="E23" s="115" t="s">
        <v>158</v>
      </c>
      <c r="F23" s="394">
        <v>9</v>
      </c>
      <c r="G23" s="115" t="s">
        <v>545</v>
      </c>
      <c r="H23" s="115" t="s">
        <v>401</v>
      </c>
      <c r="I23" s="516">
        <f>(O23+P23+Q23)/18</f>
        <v>0.33333333333333331</v>
      </c>
      <c r="J23" s="393">
        <v>17697</v>
      </c>
      <c r="K23" s="506">
        <v>50967</v>
      </c>
      <c r="L23" s="115">
        <v>18</v>
      </c>
      <c r="M23" s="115">
        <v>18</v>
      </c>
      <c r="N23" s="323">
        <v>1</v>
      </c>
      <c r="O23" s="115"/>
      <c r="P23" s="115"/>
      <c r="Q23" s="115">
        <v>6</v>
      </c>
      <c r="R23" s="506">
        <f t="shared" si="2"/>
        <v>0</v>
      </c>
      <c r="S23" s="506">
        <f t="shared" si="3"/>
        <v>0</v>
      </c>
      <c r="T23" s="506">
        <f t="shared" si="4"/>
        <v>16989</v>
      </c>
      <c r="U23" s="323">
        <v>0.05</v>
      </c>
      <c r="V23" s="507">
        <v>0.15</v>
      </c>
      <c r="W23" s="347">
        <f>(R23+S23+T23)*25%</f>
        <v>4247.25</v>
      </c>
      <c r="X23" s="508">
        <v>0.1</v>
      </c>
      <c r="Y23" s="507">
        <v>0.2</v>
      </c>
      <c r="Z23" s="517">
        <v>0.125</v>
      </c>
      <c r="AA23" s="507">
        <v>0.25</v>
      </c>
      <c r="AB23" s="323">
        <v>0.15</v>
      </c>
      <c r="AC23" s="323">
        <v>0.3</v>
      </c>
      <c r="AD23" s="510"/>
      <c r="AE23" s="510"/>
      <c r="AF23" s="510"/>
      <c r="AG23" s="510"/>
      <c r="AH23" s="510">
        <v>6</v>
      </c>
      <c r="AI23" s="510"/>
      <c r="AJ23" s="510">
        <f>K23*Z23/M23*AD23</f>
        <v>0</v>
      </c>
      <c r="AK23" s="510"/>
      <c r="AL23" s="383">
        <f>J23*Z23/L23*AF23</f>
        <v>0</v>
      </c>
      <c r="AM23" s="383">
        <f>J23*AA23/L23*AG23</f>
        <v>0</v>
      </c>
      <c r="AN23" s="383">
        <f>J23*Z23/L23*AH23</f>
        <v>737.375</v>
      </c>
      <c r="AO23" s="383">
        <f t="shared" si="8"/>
        <v>0</v>
      </c>
      <c r="AP23" s="115"/>
      <c r="AQ23" s="511">
        <f>J23*AA23/M23*AP23</f>
        <v>0</v>
      </c>
      <c r="AR23" s="116"/>
      <c r="AS23" s="510">
        <f>J23*AA23/L23*AR23</f>
        <v>0</v>
      </c>
      <c r="AT23" s="116">
        <v>6</v>
      </c>
      <c r="AU23" s="510">
        <f>J23*AA23/L23*AT23</f>
        <v>1474.75</v>
      </c>
      <c r="AV23" s="115"/>
      <c r="AW23" s="115"/>
      <c r="AX23" s="115"/>
      <c r="AY23" s="115"/>
      <c r="AZ23" s="115"/>
      <c r="BA23" s="115"/>
      <c r="BB23" s="518"/>
      <c r="BC23" s="518">
        <f>BE23*40%</f>
        <v>2359.6</v>
      </c>
      <c r="BD23" s="490">
        <f t="shared" ref="BD23:BD37" si="13">BE23-BC23</f>
        <v>3539.4</v>
      </c>
      <c r="BE23" s="93">
        <f t="shared" si="9"/>
        <v>5899</v>
      </c>
      <c r="BF23" s="116"/>
      <c r="BG23" s="115"/>
      <c r="BH23" s="115"/>
      <c r="BI23" s="115"/>
      <c r="BJ23" s="116">
        <f t="shared" si="10"/>
        <v>29347.375</v>
      </c>
      <c r="BK23" s="116">
        <f t="shared" si="11"/>
        <v>26987.924999999999</v>
      </c>
      <c r="BL23" s="487">
        <f t="shared" si="12"/>
        <v>2359.4500000000007</v>
      </c>
      <c r="CD23" s="343" t="s">
        <v>401</v>
      </c>
      <c r="CE23" s="409">
        <v>0.39</v>
      </c>
    </row>
    <row r="24" spans="1:83" s="410" customFormat="1" ht="12" customHeight="1">
      <c r="A24" s="393">
        <v>4</v>
      </c>
      <c r="B24" s="115" t="s">
        <v>159</v>
      </c>
      <c r="C24" s="115" t="s">
        <v>1</v>
      </c>
      <c r="D24" s="115" t="s">
        <v>403</v>
      </c>
      <c r="E24" s="115" t="s">
        <v>117</v>
      </c>
      <c r="F24" s="394">
        <v>9</v>
      </c>
      <c r="G24" s="115" t="s">
        <v>446</v>
      </c>
      <c r="H24" s="115" t="s">
        <v>374</v>
      </c>
      <c r="I24" s="516">
        <f t="shared" ref="I24:I47" si="14">(O24+P24+Q24)/18</f>
        <v>0.83333333333333337</v>
      </c>
      <c r="J24" s="393">
        <v>17697</v>
      </c>
      <c r="K24" s="506">
        <v>50967</v>
      </c>
      <c r="L24" s="115">
        <v>18</v>
      </c>
      <c r="M24" s="115">
        <v>18</v>
      </c>
      <c r="N24" s="323">
        <v>0.5</v>
      </c>
      <c r="O24" s="115"/>
      <c r="P24" s="115">
        <v>12</v>
      </c>
      <c r="Q24" s="115">
        <v>3</v>
      </c>
      <c r="R24" s="506">
        <f t="shared" si="2"/>
        <v>0</v>
      </c>
      <c r="S24" s="506">
        <f t="shared" si="3"/>
        <v>33978</v>
      </c>
      <c r="T24" s="506">
        <f t="shared" si="4"/>
        <v>8494.5</v>
      </c>
      <c r="U24" s="323">
        <v>0.05</v>
      </c>
      <c r="V24" s="507">
        <v>0.15</v>
      </c>
      <c r="W24" s="347">
        <f t="shared" ref="W24:W47" si="15">(R24+S24+T24)*25%</f>
        <v>10618.125</v>
      </c>
      <c r="X24" s="323">
        <v>0.1</v>
      </c>
      <c r="Y24" s="323">
        <v>0.2</v>
      </c>
      <c r="Z24" s="519">
        <v>0.125</v>
      </c>
      <c r="AA24" s="323">
        <v>0.25</v>
      </c>
      <c r="AB24" s="323">
        <v>0.15</v>
      </c>
      <c r="AC24" s="323">
        <v>0.3</v>
      </c>
      <c r="AD24" s="510"/>
      <c r="AE24" s="510"/>
      <c r="AF24" s="510">
        <v>12</v>
      </c>
      <c r="AG24" s="510"/>
      <c r="AH24" s="510">
        <v>3</v>
      </c>
      <c r="AI24" s="510"/>
      <c r="AJ24" s="116"/>
      <c r="AK24" s="510"/>
      <c r="AL24" s="383">
        <f>J24*Z24/L24*AF24</f>
        <v>1474.75</v>
      </c>
      <c r="AM24" s="383">
        <f>J24*AA24/L24*AG24</f>
        <v>0</v>
      </c>
      <c r="AN24" s="383">
        <f>J24*Z24/L24*AH24</f>
        <v>368.6875</v>
      </c>
      <c r="AO24" s="511">
        <f t="shared" si="8"/>
        <v>0</v>
      </c>
      <c r="AP24" s="116"/>
      <c r="AQ24" s="115"/>
      <c r="AR24" s="115"/>
      <c r="AS24" s="510">
        <f t="shared" ref="AS24:AS47" si="16">J24*AA24/L24*AR24</f>
        <v>0</v>
      </c>
      <c r="AT24" s="116"/>
      <c r="AU24" s="510"/>
      <c r="AV24" s="115"/>
      <c r="AW24" s="115"/>
      <c r="AX24" s="116">
        <v>2655</v>
      </c>
      <c r="AY24" s="115"/>
      <c r="AZ24" s="115"/>
      <c r="BA24" s="115"/>
      <c r="BB24" s="518"/>
      <c r="BC24" s="515">
        <f>17697*15%/18*15</f>
        <v>2212.125</v>
      </c>
      <c r="BD24" s="490">
        <f t="shared" si="13"/>
        <v>5161.625</v>
      </c>
      <c r="BE24" s="93">
        <f t="shared" si="9"/>
        <v>7373.75</v>
      </c>
      <c r="BF24" s="115">
        <v>3539</v>
      </c>
      <c r="BG24" s="115"/>
      <c r="BH24" s="115"/>
      <c r="BI24" s="115"/>
      <c r="BJ24" s="116">
        <f t="shared" si="10"/>
        <v>68501.8125</v>
      </c>
      <c r="BK24" s="116">
        <f t="shared" si="11"/>
        <v>66289.837499999994</v>
      </c>
      <c r="BL24" s="487">
        <f t="shared" si="12"/>
        <v>2211.9750000000058</v>
      </c>
      <c r="BM24" s="1264" t="s">
        <v>305</v>
      </c>
      <c r="BN24" s="1265"/>
      <c r="BO24" s="1265"/>
      <c r="BP24" s="1265"/>
      <c r="BQ24" s="1266"/>
      <c r="BR24" s="413">
        <v>0</v>
      </c>
      <c r="BS24" s="414" t="s">
        <v>306</v>
      </c>
      <c r="BT24" s="414" t="s">
        <v>307</v>
      </c>
      <c r="BU24" s="414" t="s">
        <v>308</v>
      </c>
      <c r="BV24" s="413" t="s">
        <v>309</v>
      </c>
      <c r="CD24" s="343" t="s">
        <v>374</v>
      </c>
      <c r="CE24" s="409">
        <v>0.67</v>
      </c>
    </row>
    <row r="25" spans="1:83" s="410" customFormat="1" ht="12" customHeight="1">
      <c r="A25" s="393">
        <v>6</v>
      </c>
      <c r="B25" s="115" t="s">
        <v>160</v>
      </c>
      <c r="C25" s="115" t="s">
        <v>161</v>
      </c>
      <c r="D25" s="115" t="s">
        <v>403</v>
      </c>
      <c r="E25" s="115" t="s">
        <v>162</v>
      </c>
      <c r="F25" s="394">
        <v>9</v>
      </c>
      <c r="G25" s="115" t="s">
        <v>546</v>
      </c>
      <c r="H25" s="115" t="s">
        <v>374</v>
      </c>
      <c r="I25" s="516">
        <f t="shared" si="14"/>
        <v>0.88888888888888884</v>
      </c>
      <c r="J25" s="393">
        <v>17697</v>
      </c>
      <c r="K25" s="506">
        <v>50967</v>
      </c>
      <c r="L25" s="115">
        <v>18</v>
      </c>
      <c r="M25" s="115">
        <v>18</v>
      </c>
      <c r="N25" s="520">
        <v>0.5</v>
      </c>
      <c r="O25" s="115"/>
      <c r="P25" s="115">
        <v>13</v>
      </c>
      <c r="Q25" s="115">
        <v>3</v>
      </c>
      <c r="R25" s="506">
        <f t="shared" si="2"/>
        <v>0</v>
      </c>
      <c r="S25" s="506">
        <f t="shared" si="3"/>
        <v>36809.5</v>
      </c>
      <c r="T25" s="506">
        <f t="shared" si="4"/>
        <v>8494.5</v>
      </c>
      <c r="U25" s="323">
        <v>0.05</v>
      </c>
      <c r="V25" s="507">
        <v>0.15</v>
      </c>
      <c r="W25" s="347">
        <f t="shared" si="15"/>
        <v>11326</v>
      </c>
      <c r="X25" s="323">
        <v>0.1</v>
      </c>
      <c r="Y25" s="323">
        <v>0.2</v>
      </c>
      <c r="Z25" s="521">
        <v>0.125</v>
      </c>
      <c r="AA25" s="323">
        <v>0.25</v>
      </c>
      <c r="AB25" s="522">
        <v>0.15</v>
      </c>
      <c r="AC25" s="522">
        <v>0.3</v>
      </c>
      <c r="AD25" s="510"/>
      <c r="AE25" s="510"/>
      <c r="AF25" s="510">
        <v>13</v>
      </c>
      <c r="AG25" s="525"/>
      <c r="AH25" s="510">
        <v>3</v>
      </c>
      <c r="AI25" s="510"/>
      <c r="AJ25" s="510">
        <f>K25*Z25/M25*AD25</f>
        <v>0</v>
      </c>
      <c r="AK25" s="510">
        <f t="shared" ref="AK25:AK39" si="17">K25*Y25/M25*AE25</f>
        <v>0</v>
      </c>
      <c r="AL25" s="383">
        <f>J25*Z25/L25*AF25</f>
        <v>1597.6458333333333</v>
      </c>
      <c r="AM25" s="383">
        <f>J25*AA25/L25*AG25</f>
        <v>0</v>
      </c>
      <c r="AN25" s="383">
        <f>J25*Z25/L25*AH25</f>
        <v>368.6875</v>
      </c>
      <c r="AO25" s="383">
        <f t="shared" si="8"/>
        <v>0</v>
      </c>
      <c r="AP25" s="115"/>
      <c r="AQ25" s="115"/>
      <c r="AR25" s="116"/>
      <c r="AS25" s="510">
        <f t="shared" si="16"/>
        <v>0</v>
      </c>
      <c r="AT25" s="116"/>
      <c r="AU25" s="510"/>
      <c r="AV25" s="115"/>
      <c r="AW25" s="115"/>
      <c r="AX25" s="526">
        <v>2655</v>
      </c>
      <c r="AY25" s="527"/>
      <c r="AZ25" s="116"/>
      <c r="BA25" s="528"/>
      <c r="BB25" s="518"/>
      <c r="BC25" s="515">
        <f>17697*15%/18*16</f>
        <v>2359.6</v>
      </c>
      <c r="BD25" s="490">
        <f t="shared" si="13"/>
        <v>5505.7333333333336</v>
      </c>
      <c r="BE25" s="93">
        <f t="shared" si="9"/>
        <v>7865.333333333333</v>
      </c>
      <c r="BF25" s="529">
        <v>3539</v>
      </c>
      <c r="BG25" s="115"/>
      <c r="BH25" s="115"/>
      <c r="BI25" s="115"/>
      <c r="BJ25" s="116">
        <f t="shared" si="10"/>
        <v>72655.666666666672</v>
      </c>
      <c r="BK25" s="116">
        <f t="shared" si="11"/>
        <v>70296.216666666674</v>
      </c>
      <c r="BL25" s="487">
        <f t="shared" si="12"/>
        <v>2359.4499999999971</v>
      </c>
      <c r="BM25" s="1264" t="s">
        <v>314</v>
      </c>
      <c r="BN25" s="1265"/>
      <c r="BO25" s="1265"/>
      <c r="BP25" s="1265"/>
      <c r="BQ25" s="1266"/>
      <c r="BR25" s="413"/>
      <c r="BS25" s="413">
        <f>BS26+BS28</f>
        <v>100</v>
      </c>
      <c r="BT25" s="413">
        <f>BT26+BT28</f>
        <v>164</v>
      </c>
      <c r="BU25" s="413">
        <f>BU26+BU28</f>
        <v>110</v>
      </c>
      <c r="BV25" s="413">
        <f>BR25+BS25+BT25+BU25</f>
        <v>374</v>
      </c>
      <c r="CD25" s="343" t="s">
        <v>374</v>
      </c>
      <c r="CE25" s="409">
        <v>1.1100000000000001</v>
      </c>
    </row>
    <row r="26" spans="1:83" s="410" customFormat="1" ht="12" customHeight="1">
      <c r="A26" s="393">
        <v>8</v>
      </c>
      <c r="B26" s="115" t="s">
        <v>163</v>
      </c>
      <c r="C26" s="115" t="s">
        <v>394</v>
      </c>
      <c r="D26" s="115" t="s">
        <v>403</v>
      </c>
      <c r="E26" s="115" t="s">
        <v>164</v>
      </c>
      <c r="F26" s="394">
        <v>9</v>
      </c>
      <c r="G26" s="115" t="s">
        <v>547</v>
      </c>
      <c r="H26" s="115" t="s">
        <v>374</v>
      </c>
      <c r="I26" s="516">
        <f t="shared" si="14"/>
        <v>0.55555555555555558</v>
      </c>
      <c r="J26" s="393">
        <v>17697</v>
      </c>
      <c r="K26" s="506">
        <v>50967</v>
      </c>
      <c r="L26" s="115">
        <v>18</v>
      </c>
      <c r="M26" s="115">
        <v>18</v>
      </c>
      <c r="N26" s="520">
        <v>0.5</v>
      </c>
      <c r="O26" s="115"/>
      <c r="P26" s="115">
        <v>2</v>
      </c>
      <c r="Q26" s="115">
        <v>8</v>
      </c>
      <c r="R26" s="506">
        <f t="shared" si="2"/>
        <v>0</v>
      </c>
      <c r="S26" s="506">
        <f t="shared" si="3"/>
        <v>5663</v>
      </c>
      <c r="T26" s="506">
        <f t="shared" si="4"/>
        <v>22652</v>
      </c>
      <c r="U26" s="323">
        <v>0.05</v>
      </c>
      <c r="V26" s="507">
        <v>0.15</v>
      </c>
      <c r="W26" s="347">
        <f t="shared" si="15"/>
        <v>7078.75</v>
      </c>
      <c r="X26" s="323">
        <v>0.1</v>
      </c>
      <c r="Y26" s="323">
        <v>0.2</v>
      </c>
      <c r="Z26" s="521">
        <v>0.125</v>
      </c>
      <c r="AA26" s="323">
        <v>0.25</v>
      </c>
      <c r="AB26" s="522">
        <v>0.15</v>
      </c>
      <c r="AC26" s="522">
        <v>0.3</v>
      </c>
      <c r="AD26" s="510"/>
      <c r="AE26" s="510"/>
      <c r="AF26" s="530">
        <v>2</v>
      </c>
      <c r="AG26" s="510"/>
      <c r="AH26" s="510">
        <v>8</v>
      </c>
      <c r="AI26" s="525"/>
      <c r="AJ26" s="510" t="e">
        <f>K26*#REF!/M26*AD26</f>
        <v>#REF!</v>
      </c>
      <c r="AK26" s="510">
        <f t="shared" si="17"/>
        <v>0</v>
      </c>
      <c r="AL26" s="511">
        <f t="shared" si="5"/>
        <v>196.63333333333333</v>
      </c>
      <c r="AM26" s="511">
        <f t="shared" si="6"/>
        <v>0</v>
      </c>
      <c r="AN26" s="512">
        <f t="shared" si="7"/>
        <v>786.5333333333333</v>
      </c>
      <c r="AO26" s="511">
        <f t="shared" si="8"/>
        <v>0</v>
      </c>
      <c r="AP26" s="115"/>
      <c r="AQ26" s="115"/>
      <c r="AR26" s="115"/>
      <c r="AS26" s="510">
        <f t="shared" si="16"/>
        <v>0</v>
      </c>
      <c r="AT26" s="116"/>
      <c r="AU26" s="510"/>
      <c r="AV26" s="116"/>
      <c r="AW26" s="115"/>
      <c r="AX26" s="511"/>
      <c r="AY26" s="115"/>
      <c r="AZ26" s="116">
        <v>2655</v>
      </c>
      <c r="BA26" s="115"/>
      <c r="BB26" s="518"/>
      <c r="BC26" s="515">
        <f>17697*15%/18*10</f>
        <v>1474.75</v>
      </c>
      <c r="BD26" s="490">
        <f t="shared" si="13"/>
        <v>3441.083333333333</v>
      </c>
      <c r="BE26" s="93">
        <f t="shared" si="9"/>
        <v>4915.833333333333</v>
      </c>
      <c r="BF26" s="529">
        <v>3539</v>
      </c>
      <c r="BG26" s="115"/>
      <c r="BH26" s="115"/>
      <c r="BI26" s="115"/>
      <c r="BJ26" s="116" t="e">
        <f t="shared" si="10"/>
        <v>#REF!</v>
      </c>
      <c r="BK26" s="116" t="e">
        <f t="shared" si="11"/>
        <v>#REF!</v>
      </c>
      <c r="BL26" s="487" t="e">
        <f t="shared" si="12"/>
        <v>#REF!</v>
      </c>
      <c r="BM26" s="1264" t="s">
        <v>316</v>
      </c>
      <c r="BN26" s="1265"/>
      <c r="BO26" s="1265"/>
      <c r="BP26" s="1265"/>
      <c r="BQ26" s="1266"/>
      <c r="BR26" s="413"/>
      <c r="BS26" s="413">
        <v>100</v>
      </c>
      <c r="BT26" s="413">
        <v>164</v>
      </c>
      <c r="BU26" s="413">
        <v>110</v>
      </c>
      <c r="BV26" s="413">
        <f>BR26+BS26+BT26+BU26</f>
        <v>374</v>
      </c>
      <c r="CD26" s="343" t="s">
        <v>477</v>
      </c>
      <c r="CE26" s="409">
        <v>0.72</v>
      </c>
    </row>
    <row r="27" spans="1:83" s="410" customFormat="1" ht="12" customHeight="1">
      <c r="A27" s="393">
        <v>9</v>
      </c>
      <c r="B27" s="115" t="s">
        <v>163</v>
      </c>
      <c r="C27" s="115" t="s">
        <v>565</v>
      </c>
      <c r="D27" s="115" t="s">
        <v>403</v>
      </c>
      <c r="E27" s="115" t="s">
        <v>164</v>
      </c>
      <c r="F27" s="394">
        <v>9</v>
      </c>
      <c r="G27" s="115" t="s">
        <v>547</v>
      </c>
      <c r="H27" s="115" t="s">
        <v>355</v>
      </c>
      <c r="I27" s="516">
        <f t="shared" si="14"/>
        <v>0.44444444444444442</v>
      </c>
      <c r="J27" s="393">
        <v>17697</v>
      </c>
      <c r="K27" s="506">
        <v>50967</v>
      </c>
      <c r="L27" s="115">
        <v>18</v>
      </c>
      <c r="M27" s="115">
        <v>18</v>
      </c>
      <c r="N27" s="520"/>
      <c r="O27" s="115"/>
      <c r="P27" s="115">
        <v>8</v>
      </c>
      <c r="Q27" s="115"/>
      <c r="R27" s="506">
        <f t="shared" si="2"/>
        <v>0</v>
      </c>
      <c r="S27" s="506">
        <f t="shared" si="3"/>
        <v>22652</v>
      </c>
      <c r="T27" s="506">
        <f t="shared" si="4"/>
        <v>0</v>
      </c>
      <c r="U27" s="323">
        <v>0.05</v>
      </c>
      <c r="V27" s="507">
        <v>0.15</v>
      </c>
      <c r="W27" s="347">
        <f>(R27+S27+T27)*25%</f>
        <v>5663</v>
      </c>
      <c r="X27" s="323">
        <v>0.1</v>
      </c>
      <c r="Y27" s="323">
        <v>0.2</v>
      </c>
      <c r="Z27" s="521">
        <v>0.125</v>
      </c>
      <c r="AA27" s="323">
        <v>0.25</v>
      </c>
      <c r="AB27" s="522">
        <v>0.15</v>
      </c>
      <c r="AC27" s="522">
        <v>0.3</v>
      </c>
      <c r="AD27" s="510"/>
      <c r="AE27" s="510"/>
      <c r="AF27" s="510">
        <v>6</v>
      </c>
      <c r="AG27" s="510"/>
      <c r="AH27" s="525"/>
      <c r="AI27" s="525"/>
      <c r="AJ27" s="510">
        <f>K27*X26/M27*AD27</f>
        <v>0</v>
      </c>
      <c r="AK27" s="510">
        <f t="shared" si="17"/>
        <v>0</v>
      </c>
      <c r="AL27" s="511">
        <f t="shared" si="5"/>
        <v>589.9</v>
      </c>
      <c r="AM27" s="511">
        <f t="shared" si="6"/>
        <v>0</v>
      </c>
      <c r="AN27" s="512">
        <f t="shared" si="7"/>
        <v>0</v>
      </c>
      <c r="AO27" s="511">
        <f t="shared" si="8"/>
        <v>0</v>
      </c>
      <c r="AP27" s="115"/>
      <c r="AQ27" s="115"/>
      <c r="AR27" s="115"/>
      <c r="AS27" s="510">
        <f t="shared" si="16"/>
        <v>0</v>
      </c>
      <c r="AT27" s="116"/>
      <c r="AU27" s="510"/>
      <c r="AV27" s="116"/>
      <c r="AW27" s="115"/>
      <c r="AX27" s="526"/>
      <c r="AY27" s="115"/>
      <c r="AZ27" s="116"/>
      <c r="BA27" s="115"/>
      <c r="BB27" s="518"/>
      <c r="BC27" s="518"/>
      <c r="BD27" s="518"/>
      <c r="BE27" s="93">
        <f t="shared" si="9"/>
        <v>0</v>
      </c>
      <c r="BF27" s="529"/>
      <c r="BG27" s="115"/>
      <c r="BH27" s="115"/>
      <c r="BI27" s="115"/>
      <c r="BJ27" s="116">
        <f t="shared" si="10"/>
        <v>28904.9</v>
      </c>
      <c r="BK27" s="116">
        <f t="shared" si="11"/>
        <v>28905.05</v>
      </c>
      <c r="BL27" s="487">
        <f t="shared" si="12"/>
        <v>-0.14999999999781721</v>
      </c>
      <c r="BM27" s="1264" t="s">
        <v>316</v>
      </c>
      <c r="BN27" s="1265"/>
      <c r="BO27" s="1265"/>
      <c r="BP27" s="1265"/>
      <c r="BQ27" s="1266"/>
      <c r="BR27" s="413"/>
      <c r="BS27" s="413">
        <v>100</v>
      </c>
      <c r="BT27" s="413">
        <v>164</v>
      </c>
      <c r="BU27" s="413">
        <v>110</v>
      </c>
      <c r="BV27" s="413">
        <f>BR27+BS27+BT27+BU27</f>
        <v>374</v>
      </c>
      <c r="CD27" s="343" t="s">
        <v>355</v>
      </c>
      <c r="CE27" s="409">
        <v>0.39</v>
      </c>
    </row>
    <row r="28" spans="1:83" s="410" customFormat="1" ht="12" customHeight="1">
      <c r="A28" s="393">
        <v>10</v>
      </c>
      <c r="B28" s="115" t="s">
        <v>165</v>
      </c>
      <c r="C28" s="115" t="s">
        <v>372</v>
      </c>
      <c r="D28" s="115" t="s">
        <v>403</v>
      </c>
      <c r="E28" s="115" t="s">
        <v>166</v>
      </c>
      <c r="F28" s="394">
        <v>9</v>
      </c>
      <c r="G28" s="115" t="s">
        <v>548</v>
      </c>
      <c r="H28" s="115" t="s">
        <v>374</v>
      </c>
      <c r="I28" s="516">
        <f t="shared" si="14"/>
        <v>1</v>
      </c>
      <c r="J28" s="393">
        <v>17697</v>
      </c>
      <c r="K28" s="116">
        <v>49198</v>
      </c>
      <c r="L28" s="115">
        <v>18</v>
      </c>
      <c r="M28" s="115">
        <v>18</v>
      </c>
      <c r="N28" s="520">
        <v>0.5</v>
      </c>
      <c r="O28" s="115"/>
      <c r="P28" s="115">
        <v>12</v>
      </c>
      <c r="Q28" s="115">
        <v>6</v>
      </c>
      <c r="R28" s="506">
        <f t="shared" si="2"/>
        <v>0</v>
      </c>
      <c r="S28" s="506">
        <f t="shared" si="3"/>
        <v>32798.666666666664</v>
      </c>
      <c r="T28" s="506">
        <f t="shared" si="4"/>
        <v>16399.333333333332</v>
      </c>
      <c r="U28" s="323">
        <v>0.05</v>
      </c>
      <c r="V28" s="507">
        <v>0.15</v>
      </c>
      <c r="W28" s="347">
        <f t="shared" si="15"/>
        <v>12299.5</v>
      </c>
      <c r="X28" s="323">
        <v>0.1</v>
      </c>
      <c r="Y28" s="323">
        <v>0.2</v>
      </c>
      <c r="Z28" s="521">
        <v>0.125</v>
      </c>
      <c r="AA28" s="323">
        <v>0.25</v>
      </c>
      <c r="AB28" s="522">
        <v>0.15</v>
      </c>
      <c r="AC28" s="522">
        <v>0.3</v>
      </c>
      <c r="AD28" s="510"/>
      <c r="AE28" s="510"/>
      <c r="AF28" s="510"/>
      <c r="AG28" s="510"/>
      <c r="AH28" s="510"/>
      <c r="AI28" s="510"/>
      <c r="AJ28" s="116"/>
      <c r="AK28" s="510">
        <f t="shared" si="17"/>
        <v>0</v>
      </c>
      <c r="AL28" s="511">
        <f t="shared" si="5"/>
        <v>0</v>
      </c>
      <c r="AM28" s="511">
        <f t="shared" si="6"/>
        <v>0</v>
      </c>
      <c r="AN28" s="512">
        <f t="shared" si="7"/>
        <v>0</v>
      </c>
      <c r="AO28" s="511">
        <f t="shared" ref="AO28:AO47" si="18">J28*Y28/L28*AI28</f>
        <v>0</v>
      </c>
      <c r="AP28" s="115"/>
      <c r="AQ28" s="115"/>
      <c r="AR28" s="115"/>
      <c r="AS28" s="510">
        <f t="shared" si="16"/>
        <v>0</v>
      </c>
      <c r="AT28" s="116"/>
      <c r="AU28" s="510"/>
      <c r="AV28" s="116"/>
      <c r="AW28" s="115"/>
      <c r="AX28" s="511">
        <v>2655</v>
      </c>
      <c r="AY28" s="115"/>
      <c r="AZ28" s="116"/>
      <c r="BA28" s="116"/>
      <c r="BB28" s="518"/>
      <c r="BC28" s="515">
        <f>17697*15%/18*18</f>
        <v>2654.5499999999997</v>
      </c>
      <c r="BD28" s="490">
        <f t="shared" si="13"/>
        <v>6193.9500000000007</v>
      </c>
      <c r="BE28" s="93">
        <f t="shared" si="9"/>
        <v>8848.5</v>
      </c>
      <c r="BF28" s="529">
        <v>3539</v>
      </c>
      <c r="BG28" s="115"/>
      <c r="BH28" s="115"/>
      <c r="BI28" s="116"/>
      <c r="BJ28" s="116">
        <f t="shared" si="10"/>
        <v>76540</v>
      </c>
      <c r="BK28" s="116">
        <f t="shared" si="11"/>
        <v>73885.600000000006</v>
      </c>
      <c r="BL28" s="487">
        <f t="shared" si="12"/>
        <v>2654.3999999999942</v>
      </c>
      <c r="BM28" s="1264" t="s">
        <v>317</v>
      </c>
      <c r="BN28" s="1265"/>
      <c r="BO28" s="1265"/>
      <c r="BP28" s="1265"/>
      <c r="BQ28" s="1266"/>
      <c r="BR28" s="413"/>
      <c r="BS28" s="413"/>
      <c r="BT28" s="413">
        <v>0</v>
      </c>
      <c r="BU28" s="413">
        <v>0</v>
      </c>
      <c r="BV28" s="413" t="e">
        <f>#REF!+BR28+BS28+BU28</f>
        <v>#REF!</v>
      </c>
      <c r="CD28" s="343" t="s">
        <v>374</v>
      </c>
      <c r="CE28" s="409">
        <v>1</v>
      </c>
    </row>
    <row r="29" spans="1:83" s="410" customFormat="1" ht="12" customHeight="1">
      <c r="A29" s="393">
        <v>11</v>
      </c>
      <c r="B29" s="115" t="s">
        <v>120</v>
      </c>
      <c r="C29" s="115" t="s">
        <v>220</v>
      </c>
      <c r="D29" s="115" t="s">
        <v>403</v>
      </c>
      <c r="E29" s="115"/>
      <c r="F29" s="394">
        <v>9</v>
      </c>
      <c r="G29" s="115" t="s">
        <v>544</v>
      </c>
      <c r="H29" s="115" t="s">
        <v>477</v>
      </c>
      <c r="I29" s="516">
        <f t="shared" si="14"/>
        <v>0.3888888888888889</v>
      </c>
      <c r="J29" s="393">
        <v>17697</v>
      </c>
      <c r="K29" s="116">
        <v>50083</v>
      </c>
      <c r="L29" s="115">
        <v>18</v>
      </c>
      <c r="M29" s="115">
        <v>18</v>
      </c>
      <c r="N29" s="520">
        <v>0.3</v>
      </c>
      <c r="O29" s="115"/>
      <c r="P29" s="115">
        <v>7</v>
      </c>
      <c r="Q29" s="115"/>
      <c r="R29" s="506">
        <f t="shared" si="2"/>
        <v>0</v>
      </c>
      <c r="S29" s="506">
        <f t="shared" si="3"/>
        <v>19476.722222222219</v>
      </c>
      <c r="T29" s="506">
        <f t="shared" si="4"/>
        <v>0</v>
      </c>
      <c r="U29" s="323"/>
      <c r="V29" s="507"/>
      <c r="W29" s="347">
        <f t="shared" si="15"/>
        <v>4869.1805555555547</v>
      </c>
      <c r="X29" s="323"/>
      <c r="Y29" s="323"/>
      <c r="Z29" s="521"/>
      <c r="AA29" s="323"/>
      <c r="AB29" s="522"/>
      <c r="AC29" s="522"/>
      <c r="AD29" s="510"/>
      <c r="AE29" s="510"/>
      <c r="AF29" s="510">
        <v>7</v>
      </c>
      <c r="AG29" s="510"/>
      <c r="AH29" s="510"/>
      <c r="AI29" s="510"/>
      <c r="AJ29" s="116"/>
      <c r="AK29" s="510">
        <f>K29*Y29/M29*AE29</f>
        <v>0</v>
      </c>
      <c r="AL29" s="511">
        <f>J29*X29/L29*AF29</f>
        <v>0</v>
      </c>
      <c r="AM29" s="511">
        <f>J29*Y29/L29*AG29</f>
        <v>0</v>
      </c>
      <c r="AN29" s="512">
        <f>J29*X29/L29*AH29</f>
        <v>0</v>
      </c>
      <c r="AO29" s="511">
        <f>J29*Y29/L29*AI29</f>
        <v>0</v>
      </c>
      <c r="AP29" s="115"/>
      <c r="AQ29" s="115"/>
      <c r="AR29" s="115"/>
      <c r="AS29" s="510">
        <f t="shared" si="16"/>
        <v>0</v>
      </c>
      <c r="AT29" s="116"/>
      <c r="AU29" s="510"/>
      <c r="AV29" s="116"/>
      <c r="AW29" s="115"/>
      <c r="AX29" s="511"/>
      <c r="AY29" s="115"/>
      <c r="AZ29" s="116"/>
      <c r="BA29" s="116"/>
      <c r="BB29" s="518"/>
      <c r="BC29" s="490">
        <f>17697*10%/18*7</f>
        <v>688.2166666666667</v>
      </c>
      <c r="BD29" s="490">
        <f t="shared" si="13"/>
        <v>1376.4333333333334</v>
      </c>
      <c r="BE29" s="93">
        <f t="shared" si="9"/>
        <v>2064.65</v>
      </c>
      <c r="BF29" s="529"/>
      <c r="BG29" s="115"/>
      <c r="BH29" s="115"/>
      <c r="BI29" s="116"/>
      <c r="BJ29" s="116">
        <f t="shared" si="10"/>
        <v>26410.552777777775</v>
      </c>
      <c r="BK29" s="116">
        <f t="shared" si="11"/>
        <v>25722.336111111108</v>
      </c>
      <c r="BL29" s="487">
        <f t="shared" si="12"/>
        <v>688.21666666666715</v>
      </c>
      <c r="BM29" s="412"/>
      <c r="BN29" s="412"/>
      <c r="BO29" s="412"/>
      <c r="BP29" s="412"/>
      <c r="BQ29" s="412"/>
      <c r="CD29" s="343"/>
      <c r="CE29" s="409"/>
    </row>
    <row r="30" spans="1:83" s="411" customFormat="1" ht="12" customHeight="1">
      <c r="A30" s="393">
        <v>12</v>
      </c>
      <c r="B30" s="115" t="s">
        <v>549</v>
      </c>
      <c r="C30" s="115" t="s">
        <v>382</v>
      </c>
      <c r="D30" s="115" t="s">
        <v>403</v>
      </c>
      <c r="E30" s="115" t="s">
        <v>127</v>
      </c>
      <c r="F30" s="394">
        <v>9</v>
      </c>
      <c r="G30" s="115" t="s">
        <v>550</v>
      </c>
      <c r="H30" s="115" t="s">
        <v>355</v>
      </c>
      <c r="I30" s="516">
        <f t="shared" si="14"/>
        <v>0.33333333333333331</v>
      </c>
      <c r="J30" s="393">
        <v>17697</v>
      </c>
      <c r="K30" s="116">
        <v>50083</v>
      </c>
      <c r="L30" s="115">
        <v>18</v>
      </c>
      <c r="M30" s="115">
        <v>18</v>
      </c>
      <c r="N30" s="520"/>
      <c r="O30" s="115">
        <v>2</v>
      </c>
      <c r="P30" s="115">
        <v>4</v>
      </c>
      <c r="Q30" s="115"/>
      <c r="R30" s="506">
        <f t="shared" si="2"/>
        <v>5564.7777777777774</v>
      </c>
      <c r="S30" s="506">
        <f t="shared" si="3"/>
        <v>11129.555555555555</v>
      </c>
      <c r="T30" s="506">
        <f t="shared" si="4"/>
        <v>0</v>
      </c>
      <c r="U30" s="323">
        <v>0.05</v>
      </c>
      <c r="V30" s="507">
        <v>0.15</v>
      </c>
      <c r="W30" s="347">
        <f t="shared" si="15"/>
        <v>4173.583333333333</v>
      </c>
      <c r="X30" s="323">
        <v>0.1</v>
      </c>
      <c r="Y30" s="323">
        <v>0.2</v>
      </c>
      <c r="Z30" s="521">
        <v>0.125</v>
      </c>
      <c r="AA30" s="323">
        <v>0.25</v>
      </c>
      <c r="AB30" s="522">
        <v>0.15</v>
      </c>
      <c r="AC30" s="522">
        <v>0.3</v>
      </c>
      <c r="AD30" s="510"/>
      <c r="AE30" s="510"/>
      <c r="AF30" s="510"/>
      <c r="AG30" s="510"/>
      <c r="AH30" s="525"/>
      <c r="AI30" s="510"/>
      <c r="AJ30" s="531"/>
      <c r="AK30" s="531"/>
      <c r="AL30" s="383">
        <f>J30*Z30/L30*AF30</f>
        <v>0</v>
      </c>
      <c r="AM30" s="383">
        <f>J30*AA30/L30*AG30</f>
        <v>0</v>
      </c>
      <c r="AN30" s="383">
        <f>J30*Z30/L30*AH30</f>
        <v>0</v>
      </c>
      <c r="AO30" s="383">
        <f>J30*Y30/L30*AI30</f>
        <v>0</v>
      </c>
      <c r="AP30" s="116"/>
      <c r="AQ30" s="115"/>
      <c r="AR30" s="115"/>
      <c r="AS30" s="510">
        <f t="shared" si="16"/>
        <v>0</v>
      </c>
      <c r="AT30" s="116"/>
      <c r="AU30" s="510"/>
      <c r="AV30" s="116"/>
      <c r="AW30" s="115"/>
      <c r="AX30" s="526"/>
      <c r="AY30" s="115"/>
      <c r="AZ30" s="116"/>
      <c r="BA30" s="115"/>
      <c r="BB30" s="518">
        <v>3539</v>
      </c>
      <c r="BC30" s="518"/>
      <c r="BD30" s="518"/>
      <c r="BE30" s="93">
        <f t="shared" si="9"/>
        <v>0</v>
      </c>
      <c r="BF30" s="529"/>
      <c r="BG30" s="115"/>
      <c r="BH30" s="115"/>
      <c r="BI30" s="115"/>
      <c r="BJ30" s="116">
        <f t="shared" si="10"/>
        <v>24406.916666666664</v>
      </c>
      <c r="BK30" s="116">
        <f t="shared" si="11"/>
        <v>24407.066666666662</v>
      </c>
      <c r="BL30" s="487">
        <f t="shared" si="12"/>
        <v>-0.14999999999781721</v>
      </c>
      <c r="BM30" s="410"/>
      <c r="BN30" s="410"/>
      <c r="BO30" s="410"/>
      <c r="BP30" s="410"/>
      <c r="BQ30" s="410"/>
      <c r="CD30" s="343" t="s">
        <v>355</v>
      </c>
      <c r="CE30" s="409">
        <v>0.11</v>
      </c>
    </row>
    <row r="31" spans="1:83" s="411" customFormat="1" ht="12" customHeight="1">
      <c r="A31" s="393">
        <v>13</v>
      </c>
      <c r="B31" s="115" t="s">
        <v>167</v>
      </c>
      <c r="C31" s="115" t="s">
        <v>378</v>
      </c>
      <c r="D31" s="115" t="s">
        <v>403</v>
      </c>
      <c r="E31" s="115" t="s">
        <v>168</v>
      </c>
      <c r="F31" s="394">
        <v>9</v>
      </c>
      <c r="G31" s="115" t="s">
        <v>551</v>
      </c>
      <c r="H31" s="115" t="s">
        <v>374</v>
      </c>
      <c r="I31" s="516">
        <f t="shared" si="14"/>
        <v>0.44444444444444442</v>
      </c>
      <c r="J31" s="393">
        <v>17697</v>
      </c>
      <c r="K31" s="116">
        <v>48313</v>
      </c>
      <c r="L31" s="115">
        <v>18</v>
      </c>
      <c r="M31" s="115">
        <v>18</v>
      </c>
      <c r="N31" s="323">
        <v>0.5</v>
      </c>
      <c r="O31" s="115"/>
      <c r="P31" s="115">
        <v>4</v>
      </c>
      <c r="Q31" s="115">
        <v>4</v>
      </c>
      <c r="R31" s="506">
        <f t="shared" si="2"/>
        <v>0</v>
      </c>
      <c r="S31" s="506">
        <f t="shared" si="3"/>
        <v>10736.222222222223</v>
      </c>
      <c r="T31" s="506">
        <f t="shared" si="4"/>
        <v>10736.222222222223</v>
      </c>
      <c r="U31" s="323">
        <v>0.05</v>
      </c>
      <c r="V31" s="507">
        <v>0.15</v>
      </c>
      <c r="W31" s="347">
        <f t="shared" si="15"/>
        <v>5368.1111111111113</v>
      </c>
      <c r="X31" s="323">
        <v>0.1</v>
      </c>
      <c r="Y31" s="323">
        <v>0.2</v>
      </c>
      <c r="Z31" s="521">
        <v>0.125</v>
      </c>
      <c r="AA31" s="323">
        <v>0.25</v>
      </c>
      <c r="AB31" s="522">
        <v>0.15</v>
      </c>
      <c r="AC31" s="522">
        <v>0.3</v>
      </c>
      <c r="AD31" s="510"/>
      <c r="AE31" s="510"/>
      <c r="AF31" s="525"/>
      <c r="AG31" s="510"/>
      <c r="AH31" s="510"/>
      <c r="AI31" s="510"/>
      <c r="AJ31" s="510">
        <f>K31*X30/M31*AD31</f>
        <v>0</v>
      </c>
      <c r="AK31" s="510">
        <f t="shared" si="17"/>
        <v>0</v>
      </c>
      <c r="AL31" s="511">
        <f t="shared" si="5"/>
        <v>0</v>
      </c>
      <c r="AM31" s="511">
        <f t="shared" si="6"/>
        <v>0</v>
      </c>
      <c r="AN31" s="512">
        <f t="shared" si="7"/>
        <v>0</v>
      </c>
      <c r="AO31" s="511">
        <f t="shared" si="18"/>
        <v>0</v>
      </c>
      <c r="AP31" s="115"/>
      <c r="AQ31" s="116"/>
      <c r="AR31" s="116"/>
      <c r="AS31" s="510">
        <f t="shared" si="16"/>
        <v>0</v>
      </c>
      <c r="AT31" s="116"/>
      <c r="AU31" s="510"/>
      <c r="AV31" s="116"/>
      <c r="AW31" s="115"/>
      <c r="AX31" s="526"/>
      <c r="AY31" s="115"/>
      <c r="AZ31" s="116"/>
      <c r="BA31" s="115"/>
      <c r="BB31" s="518"/>
      <c r="BC31" s="515">
        <f>17697*15%/18*8</f>
        <v>1179.8</v>
      </c>
      <c r="BD31" s="490">
        <f t="shared" si="13"/>
        <v>2752.8666666666668</v>
      </c>
      <c r="BE31" s="93">
        <f t="shared" si="9"/>
        <v>3932.6666666666665</v>
      </c>
      <c r="BF31" s="529"/>
      <c r="BG31" s="115">
        <v>24</v>
      </c>
      <c r="BH31" s="115"/>
      <c r="BI31" s="116">
        <v>14865</v>
      </c>
      <c r="BJ31" s="116">
        <f t="shared" si="10"/>
        <v>45638.222222222219</v>
      </c>
      <c r="BK31" s="116">
        <f>S31+T31+U31+X31+AK31+AL31+AM31+AN31+AO31+AQ31+AS31+AU31+AV31+AW31+AX31+AY31+AZ31+BA31+BB31+BD31+BI31+BF31+R31+AJ31+W31</f>
        <v>44458.572222222218</v>
      </c>
      <c r="BL31" s="487">
        <f t="shared" si="12"/>
        <v>1179.6500000000015</v>
      </c>
      <c r="BM31" s="410"/>
      <c r="BN31" s="410"/>
      <c r="BO31" s="410"/>
      <c r="BP31" s="410"/>
      <c r="BQ31" s="410"/>
      <c r="CD31" s="343" t="s">
        <v>374</v>
      </c>
      <c r="CE31" s="409">
        <v>0.28000000000000003</v>
      </c>
    </row>
    <row r="32" spans="1:83" s="411" customFormat="1" ht="12" customHeight="1">
      <c r="A32" s="393">
        <v>14</v>
      </c>
      <c r="B32" s="115" t="s">
        <v>167</v>
      </c>
      <c r="C32" s="115" t="s">
        <v>372</v>
      </c>
      <c r="D32" s="115" t="s">
        <v>403</v>
      </c>
      <c r="E32" s="115" t="s">
        <v>168</v>
      </c>
      <c r="F32" s="394">
        <v>9</v>
      </c>
      <c r="G32" s="115" t="s">
        <v>169</v>
      </c>
      <c r="H32" s="115" t="s">
        <v>477</v>
      </c>
      <c r="I32" s="516">
        <f t="shared" si="14"/>
        <v>0.3888888888888889</v>
      </c>
      <c r="J32" s="393">
        <v>17697</v>
      </c>
      <c r="K32" s="116">
        <v>48313</v>
      </c>
      <c r="L32" s="115">
        <v>18</v>
      </c>
      <c r="M32" s="115">
        <v>18</v>
      </c>
      <c r="N32" s="520">
        <v>0.3</v>
      </c>
      <c r="O32" s="115"/>
      <c r="P32" s="115">
        <v>7</v>
      </c>
      <c r="Q32" s="115"/>
      <c r="R32" s="506">
        <f t="shared" si="2"/>
        <v>0</v>
      </c>
      <c r="S32" s="506">
        <f t="shared" si="3"/>
        <v>18788.388888888891</v>
      </c>
      <c r="T32" s="506">
        <f t="shared" si="4"/>
        <v>0</v>
      </c>
      <c r="U32" s="323">
        <v>0.05</v>
      </c>
      <c r="V32" s="507">
        <v>0.15</v>
      </c>
      <c r="W32" s="347">
        <f t="shared" si="15"/>
        <v>4697.0972222222226</v>
      </c>
      <c r="X32" s="323">
        <v>0.1</v>
      </c>
      <c r="Y32" s="323">
        <v>0.2</v>
      </c>
      <c r="Z32" s="521">
        <v>0.125</v>
      </c>
      <c r="AA32" s="323">
        <v>0.25</v>
      </c>
      <c r="AB32" s="522">
        <v>0.15</v>
      </c>
      <c r="AC32" s="522">
        <v>0.3</v>
      </c>
      <c r="AD32" s="510"/>
      <c r="AE32" s="510"/>
      <c r="AF32" s="525"/>
      <c r="AG32" s="510"/>
      <c r="AH32" s="510"/>
      <c r="AI32" s="510"/>
      <c r="AJ32" s="510"/>
      <c r="AK32" s="510">
        <f t="shared" si="17"/>
        <v>0</v>
      </c>
      <c r="AL32" s="511">
        <f t="shared" si="5"/>
        <v>0</v>
      </c>
      <c r="AM32" s="511">
        <f t="shared" si="6"/>
        <v>0</v>
      </c>
      <c r="AN32" s="512">
        <f t="shared" si="7"/>
        <v>0</v>
      </c>
      <c r="AO32" s="511">
        <f t="shared" si="18"/>
        <v>0</v>
      </c>
      <c r="AP32" s="115"/>
      <c r="AQ32" s="116"/>
      <c r="AR32" s="116"/>
      <c r="AS32" s="510">
        <f t="shared" si="16"/>
        <v>0</v>
      </c>
      <c r="AT32" s="116"/>
      <c r="AU32" s="510"/>
      <c r="AV32" s="116"/>
      <c r="AW32" s="115"/>
      <c r="AX32" s="526">
        <v>2655</v>
      </c>
      <c r="AY32" s="481"/>
      <c r="AZ32" s="115"/>
      <c r="BA32" s="115"/>
      <c r="BB32" s="518"/>
      <c r="BC32" s="490">
        <f>17697*10%/18*7</f>
        <v>688.2166666666667</v>
      </c>
      <c r="BD32" s="490">
        <f t="shared" si="13"/>
        <v>1376.4333333333334</v>
      </c>
      <c r="BE32" s="93">
        <f t="shared" si="9"/>
        <v>2064.65</v>
      </c>
      <c r="BF32" s="529"/>
      <c r="BG32" s="115"/>
      <c r="BH32" s="115"/>
      <c r="BI32" s="116"/>
      <c r="BJ32" s="116">
        <f t="shared" si="10"/>
        <v>28205.136111111115</v>
      </c>
      <c r="BK32" s="116">
        <f t="shared" si="11"/>
        <v>27517.069444444445</v>
      </c>
      <c r="BL32" s="487">
        <f t="shared" si="12"/>
        <v>688.06666666666933</v>
      </c>
      <c r="BM32" s="410"/>
      <c r="BN32" s="410"/>
      <c r="BO32" s="410"/>
      <c r="BP32" s="410"/>
      <c r="BQ32" s="410"/>
      <c r="CD32" s="343" t="s">
        <v>477</v>
      </c>
      <c r="CE32" s="409">
        <v>0.28000000000000003</v>
      </c>
    </row>
    <row r="33" spans="1:83" s="411" customFormat="1" ht="12" customHeight="1">
      <c r="A33" s="393">
        <v>15</v>
      </c>
      <c r="B33" s="115" t="s">
        <v>196</v>
      </c>
      <c r="C33" s="115" t="s">
        <v>170</v>
      </c>
      <c r="D33" s="115" t="s">
        <v>403</v>
      </c>
      <c r="E33" s="115" t="s">
        <v>171</v>
      </c>
      <c r="F33" s="394">
        <v>9</v>
      </c>
      <c r="G33" s="115" t="s">
        <v>195</v>
      </c>
      <c r="H33" s="115" t="s">
        <v>374</v>
      </c>
      <c r="I33" s="516">
        <f t="shared" si="14"/>
        <v>1</v>
      </c>
      <c r="J33" s="393">
        <v>17697</v>
      </c>
      <c r="K33" s="116">
        <v>50967</v>
      </c>
      <c r="L33" s="532">
        <v>18</v>
      </c>
      <c r="M33" s="115">
        <v>18</v>
      </c>
      <c r="N33" s="520">
        <v>0.5</v>
      </c>
      <c r="O33" s="115">
        <v>3</v>
      </c>
      <c r="P33" s="115">
        <v>11</v>
      </c>
      <c r="Q33" s="115">
        <v>4</v>
      </c>
      <c r="R33" s="506">
        <f t="shared" si="2"/>
        <v>8494.5</v>
      </c>
      <c r="S33" s="506">
        <f t="shared" si="3"/>
        <v>31146.5</v>
      </c>
      <c r="T33" s="506">
        <f t="shared" si="4"/>
        <v>11326</v>
      </c>
      <c r="U33" s="323">
        <v>0.05</v>
      </c>
      <c r="V33" s="507">
        <v>0.15</v>
      </c>
      <c r="W33" s="347">
        <f t="shared" si="15"/>
        <v>12741.75</v>
      </c>
      <c r="X33" s="323">
        <v>0.1</v>
      </c>
      <c r="Y33" s="323">
        <v>0.2</v>
      </c>
      <c r="Z33" s="521">
        <v>0.125</v>
      </c>
      <c r="AA33" s="323">
        <v>0.25</v>
      </c>
      <c r="AB33" s="522">
        <v>0.15</v>
      </c>
      <c r="AC33" s="522">
        <v>0.3</v>
      </c>
      <c r="AD33" s="510">
        <v>3</v>
      </c>
      <c r="AE33" s="510"/>
      <c r="AF33" s="510">
        <v>11</v>
      </c>
      <c r="AG33" s="510"/>
      <c r="AH33" s="510">
        <v>4</v>
      </c>
      <c r="AI33" s="510"/>
      <c r="AJ33" s="510">
        <f>K33*X31/M33*AD33</f>
        <v>849.45</v>
      </c>
      <c r="AK33" s="510">
        <f t="shared" si="17"/>
        <v>0</v>
      </c>
      <c r="AL33" s="511">
        <f>J33*X33/L33*AF33</f>
        <v>1081.4833333333333</v>
      </c>
      <c r="AM33" s="511">
        <f>J33*Y33/L33*AG33</f>
        <v>0</v>
      </c>
      <c r="AN33" s="512">
        <f>J33*X33/L33*AH33</f>
        <v>393.26666666666665</v>
      </c>
      <c r="AO33" s="511">
        <f t="shared" si="18"/>
        <v>0</v>
      </c>
      <c r="AP33" s="115"/>
      <c r="AQ33" s="116"/>
      <c r="AR33" s="116"/>
      <c r="AS33" s="510">
        <f t="shared" si="16"/>
        <v>0</v>
      </c>
      <c r="AT33" s="116"/>
      <c r="AU33" s="510"/>
      <c r="AV33" s="116"/>
      <c r="AW33" s="115"/>
      <c r="AX33" s="526"/>
      <c r="AY33" s="527"/>
      <c r="AZ33" s="115">
        <v>2655</v>
      </c>
      <c r="BA33" s="115"/>
      <c r="BB33" s="116"/>
      <c r="BC33" s="515">
        <f>17697*15%/18*18</f>
        <v>2654.5499999999997</v>
      </c>
      <c r="BD33" s="490">
        <f t="shared" si="13"/>
        <v>6193.9500000000007</v>
      </c>
      <c r="BE33" s="93">
        <f t="shared" si="9"/>
        <v>8848.5</v>
      </c>
      <c r="BF33" s="529">
        <v>3539</v>
      </c>
      <c r="BG33" s="115"/>
      <c r="BH33" s="115"/>
      <c r="BI33" s="116"/>
      <c r="BJ33" s="116">
        <f t="shared" si="10"/>
        <v>81075.45</v>
      </c>
      <c r="BK33" s="116">
        <f t="shared" si="11"/>
        <v>78421.05</v>
      </c>
      <c r="BL33" s="487">
        <f t="shared" si="12"/>
        <v>2654.3999999999942</v>
      </c>
      <c r="BM33" s="410"/>
      <c r="BN33" s="410"/>
      <c r="BO33" s="410"/>
      <c r="BP33" s="410"/>
      <c r="BQ33" s="410"/>
      <c r="CD33" s="343" t="s">
        <v>477</v>
      </c>
      <c r="CE33" s="409">
        <v>1</v>
      </c>
    </row>
    <row r="34" spans="1:83" s="411" customFormat="1" ht="12" customHeight="1">
      <c r="A34" s="393">
        <v>16</v>
      </c>
      <c r="B34" s="115" t="s">
        <v>172</v>
      </c>
      <c r="C34" s="115" t="s">
        <v>219</v>
      </c>
      <c r="D34" s="115" t="s">
        <v>403</v>
      </c>
      <c r="E34" s="115" t="s">
        <v>122</v>
      </c>
      <c r="F34" s="394">
        <v>9</v>
      </c>
      <c r="G34" s="115" t="s">
        <v>552</v>
      </c>
      <c r="H34" s="115" t="s">
        <v>374</v>
      </c>
      <c r="I34" s="516">
        <f t="shared" si="14"/>
        <v>0.5</v>
      </c>
      <c r="J34" s="393">
        <v>17697</v>
      </c>
      <c r="K34" s="116">
        <v>50967</v>
      </c>
      <c r="L34" s="524">
        <v>18</v>
      </c>
      <c r="M34" s="115">
        <v>18</v>
      </c>
      <c r="N34" s="533">
        <v>0.5</v>
      </c>
      <c r="O34" s="115">
        <v>2</v>
      </c>
      <c r="P34" s="115">
        <v>5</v>
      </c>
      <c r="Q34" s="115">
        <v>2</v>
      </c>
      <c r="R34" s="506">
        <f t="shared" si="2"/>
        <v>5663</v>
      </c>
      <c r="S34" s="506">
        <f t="shared" si="3"/>
        <v>14157.5</v>
      </c>
      <c r="T34" s="506">
        <f t="shared" si="4"/>
        <v>5663</v>
      </c>
      <c r="U34" s="323">
        <v>0.05</v>
      </c>
      <c r="V34" s="507">
        <v>0.15</v>
      </c>
      <c r="W34" s="347">
        <f t="shared" si="15"/>
        <v>6370.875</v>
      </c>
      <c r="X34" s="323">
        <v>0.1</v>
      </c>
      <c r="Y34" s="323">
        <v>0.2</v>
      </c>
      <c r="Z34" s="521">
        <v>0.125</v>
      </c>
      <c r="AA34" s="323">
        <v>0.25</v>
      </c>
      <c r="AB34" s="522">
        <v>0.15</v>
      </c>
      <c r="AC34" s="522">
        <v>0.3</v>
      </c>
      <c r="AD34" s="510">
        <v>2</v>
      </c>
      <c r="AE34" s="510"/>
      <c r="AF34" s="510"/>
      <c r="AG34" s="510"/>
      <c r="AH34" s="510"/>
      <c r="AI34" s="510"/>
      <c r="AJ34" s="512"/>
      <c r="AK34" s="510">
        <f t="shared" si="17"/>
        <v>0</v>
      </c>
      <c r="AL34" s="511">
        <f t="shared" ref="AL34:AL47" si="19">J34*X34/L34*AF34</f>
        <v>0</v>
      </c>
      <c r="AM34" s="511">
        <f t="shared" ref="AM34:AM47" si="20">J34*Y34/L34*AG34</f>
        <v>0</v>
      </c>
      <c r="AN34" s="512">
        <f t="shared" ref="AN34:AN47" si="21">J34*X34/L34*AH34</f>
        <v>0</v>
      </c>
      <c r="AO34" s="511">
        <f t="shared" si="18"/>
        <v>0</v>
      </c>
      <c r="AP34" s="115">
        <v>2</v>
      </c>
      <c r="AQ34" s="511">
        <f>J34*AA34/M34*AP34</f>
        <v>491.58333333333331</v>
      </c>
      <c r="AR34" s="116"/>
      <c r="AS34" s="510">
        <f t="shared" si="16"/>
        <v>0</v>
      </c>
      <c r="AT34" s="116"/>
      <c r="AU34" s="510"/>
      <c r="AV34" s="116"/>
      <c r="AW34" s="115"/>
      <c r="AX34" s="116"/>
      <c r="AY34" s="115"/>
      <c r="AZ34" s="115"/>
      <c r="BA34" s="115"/>
      <c r="BB34" s="518"/>
      <c r="BC34" s="515">
        <f>17697*15%/18*9</f>
        <v>1327.2749999999999</v>
      </c>
      <c r="BD34" s="490">
        <f t="shared" si="13"/>
        <v>3096.9750000000004</v>
      </c>
      <c r="BE34" s="93">
        <f t="shared" si="9"/>
        <v>4424.25</v>
      </c>
      <c r="BF34" s="115"/>
      <c r="BG34" s="115"/>
      <c r="BH34" s="115"/>
      <c r="BI34" s="115"/>
      <c r="BJ34" s="116">
        <f t="shared" si="10"/>
        <v>36770.208333333328</v>
      </c>
      <c r="BK34" s="116">
        <f t="shared" si="11"/>
        <v>35443.083333333328</v>
      </c>
      <c r="BL34" s="487">
        <f t="shared" si="12"/>
        <v>1327.125</v>
      </c>
      <c r="BM34" s="410"/>
      <c r="BN34" s="410"/>
      <c r="BO34" s="410"/>
      <c r="BP34" s="410"/>
      <c r="BQ34" s="410"/>
      <c r="CD34" s="343" t="s">
        <v>374</v>
      </c>
      <c r="CE34" s="409">
        <v>0.39</v>
      </c>
    </row>
    <row r="35" spans="1:83" s="411" customFormat="1" ht="12" customHeight="1">
      <c r="A35" s="393">
        <v>17</v>
      </c>
      <c r="B35" s="115" t="s">
        <v>123</v>
      </c>
      <c r="C35" s="115" t="s">
        <v>382</v>
      </c>
      <c r="D35" s="115" t="s">
        <v>403</v>
      </c>
      <c r="E35" s="115" t="s">
        <v>124</v>
      </c>
      <c r="F35" s="394">
        <v>9</v>
      </c>
      <c r="G35" s="115" t="s">
        <v>553</v>
      </c>
      <c r="H35" s="115" t="s">
        <v>477</v>
      </c>
      <c r="I35" s="516">
        <f t="shared" si="14"/>
        <v>0.3888888888888889</v>
      </c>
      <c r="J35" s="393">
        <v>17697</v>
      </c>
      <c r="K35" s="116">
        <v>50967</v>
      </c>
      <c r="L35" s="524">
        <v>18</v>
      </c>
      <c r="M35" s="115">
        <v>18</v>
      </c>
      <c r="N35" s="533">
        <v>0.3</v>
      </c>
      <c r="O35" s="115"/>
      <c r="P35" s="115">
        <v>5</v>
      </c>
      <c r="Q35" s="115">
        <v>2</v>
      </c>
      <c r="R35" s="506">
        <f t="shared" si="2"/>
        <v>0</v>
      </c>
      <c r="S35" s="506">
        <f t="shared" si="3"/>
        <v>14157.5</v>
      </c>
      <c r="T35" s="506">
        <f t="shared" si="4"/>
        <v>5663</v>
      </c>
      <c r="U35" s="323">
        <v>0.05</v>
      </c>
      <c r="V35" s="507">
        <v>0.15</v>
      </c>
      <c r="W35" s="347">
        <f t="shared" si="15"/>
        <v>4955.125</v>
      </c>
      <c r="X35" s="323">
        <v>0.1</v>
      </c>
      <c r="Y35" s="323">
        <v>0.2</v>
      </c>
      <c r="Z35" s="521">
        <v>0.125</v>
      </c>
      <c r="AA35" s="323">
        <v>0.25</v>
      </c>
      <c r="AB35" s="522">
        <v>0.15</v>
      </c>
      <c r="AC35" s="522">
        <v>0.3</v>
      </c>
      <c r="AD35" s="510"/>
      <c r="AE35" s="510"/>
      <c r="AF35" s="510"/>
      <c r="AG35" s="510"/>
      <c r="AH35" s="510"/>
      <c r="AI35" s="510"/>
      <c r="AJ35" s="116"/>
      <c r="AK35" s="510">
        <f t="shared" si="17"/>
        <v>0</v>
      </c>
      <c r="AL35" s="511">
        <f t="shared" si="19"/>
        <v>0</v>
      </c>
      <c r="AM35" s="511">
        <f t="shared" si="20"/>
        <v>0</v>
      </c>
      <c r="AN35" s="512">
        <f t="shared" si="21"/>
        <v>0</v>
      </c>
      <c r="AO35" s="511">
        <f t="shared" si="18"/>
        <v>0</v>
      </c>
      <c r="AP35" s="116"/>
      <c r="AQ35" s="511"/>
      <c r="AR35" s="116"/>
      <c r="AS35" s="510">
        <f t="shared" si="16"/>
        <v>0</v>
      </c>
      <c r="AT35" s="116"/>
      <c r="AU35" s="510"/>
      <c r="AV35" s="513"/>
      <c r="AW35" s="115"/>
      <c r="AX35" s="116"/>
      <c r="AY35" s="115"/>
      <c r="AZ35" s="115"/>
      <c r="BA35" s="115"/>
      <c r="BB35" s="116"/>
      <c r="BC35" s="490">
        <f>17697*10%/18*7</f>
        <v>688.2166666666667</v>
      </c>
      <c r="BD35" s="490">
        <f t="shared" si="13"/>
        <v>1376.4333333333334</v>
      </c>
      <c r="BE35" s="93">
        <f t="shared" si="9"/>
        <v>2064.65</v>
      </c>
      <c r="BF35" s="115"/>
      <c r="BG35" s="115"/>
      <c r="BH35" s="115"/>
      <c r="BI35" s="115"/>
      <c r="BJ35" s="116">
        <f t="shared" si="10"/>
        <v>26840.275000000001</v>
      </c>
      <c r="BK35" s="116">
        <f t="shared" si="11"/>
        <v>26152.208333333332</v>
      </c>
      <c r="BL35" s="487">
        <f t="shared" si="12"/>
        <v>688.06666666666933</v>
      </c>
      <c r="BM35" s="410"/>
      <c r="BN35" s="410"/>
      <c r="BO35" s="410"/>
      <c r="BP35" s="410"/>
      <c r="BQ35" s="410"/>
      <c r="CD35" s="343"/>
      <c r="CE35" s="409">
        <v>0.28000000000000003</v>
      </c>
    </row>
    <row r="36" spans="1:83" s="411" customFormat="1" ht="12" customHeight="1">
      <c r="A36" s="393">
        <v>18</v>
      </c>
      <c r="B36" s="115" t="s">
        <v>173</v>
      </c>
      <c r="C36" s="115" t="s">
        <v>368</v>
      </c>
      <c r="D36" s="115" t="s">
        <v>403</v>
      </c>
      <c r="E36" s="115" t="s">
        <v>174</v>
      </c>
      <c r="F36" s="394">
        <v>9</v>
      </c>
      <c r="G36" s="115" t="s">
        <v>554</v>
      </c>
      <c r="H36" s="115" t="s">
        <v>374</v>
      </c>
      <c r="I36" s="516">
        <f t="shared" si="14"/>
        <v>1.2222222222222223</v>
      </c>
      <c r="J36" s="393">
        <v>17697</v>
      </c>
      <c r="K36" s="116">
        <v>50967</v>
      </c>
      <c r="L36" s="115">
        <v>18</v>
      </c>
      <c r="M36" s="115">
        <v>18</v>
      </c>
      <c r="N36" s="520">
        <v>0.5</v>
      </c>
      <c r="O36" s="115">
        <v>22</v>
      </c>
      <c r="P36" s="115"/>
      <c r="Q36" s="115"/>
      <c r="R36" s="506">
        <f t="shared" si="2"/>
        <v>62293</v>
      </c>
      <c r="S36" s="506">
        <f t="shared" si="3"/>
        <v>0</v>
      </c>
      <c r="T36" s="506">
        <f t="shared" si="4"/>
        <v>0</v>
      </c>
      <c r="U36" s="323">
        <v>0.05</v>
      </c>
      <c r="V36" s="507">
        <v>0.15</v>
      </c>
      <c r="W36" s="347">
        <f t="shared" si="15"/>
        <v>15573.25</v>
      </c>
      <c r="X36" s="323">
        <v>0.1</v>
      </c>
      <c r="Y36" s="323">
        <v>0.2</v>
      </c>
      <c r="Z36" s="521">
        <v>0.125</v>
      </c>
      <c r="AA36" s="323">
        <v>0.25</v>
      </c>
      <c r="AB36" s="522">
        <v>0.15</v>
      </c>
      <c r="AC36" s="522">
        <v>0.3</v>
      </c>
      <c r="AD36" s="510">
        <v>18</v>
      </c>
      <c r="AE36" s="510"/>
      <c r="AF36" s="510"/>
      <c r="AG36" s="510"/>
      <c r="AH36" s="510"/>
      <c r="AI36" s="510"/>
      <c r="AJ36" s="512">
        <v>1770</v>
      </c>
      <c r="AK36" s="89"/>
      <c r="AL36" s="511">
        <f t="shared" si="19"/>
        <v>0</v>
      </c>
      <c r="AM36" s="511">
        <f t="shared" si="20"/>
        <v>0</v>
      </c>
      <c r="AN36" s="512">
        <f t="shared" si="21"/>
        <v>0</v>
      </c>
      <c r="AO36" s="511">
        <f t="shared" si="18"/>
        <v>0</v>
      </c>
      <c r="AP36" s="115"/>
      <c r="AQ36" s="511"/>
      <c r="AR36" s="116"/>
      <c r="AS36" s="510">
        <f t="shared" si="16"/>
        <v>0</v>
      </c>
      <c r="AT36" s="116"/>
      <c r="AU36" s="510"/>
      <c r="AV36" s="510">
        <v>2212</v>
      </c>
      <c r="AW36" s="116"/>
      <c r="AX36" s="116"/>
      <c r="AY36" s="115"/>
      <c r="AZ36" s="115"/>
      <c r="BA36" s="115"/>
      <c r="BB36" s="116"/>
      <c r="BC36" s="515">
        <f>17697*15%/18*22</f>
        <v>3244.45</v>
      </c>
      <c r="BD36" s="490">
        <f t="shared" si="13"/>
        <v>7570.3833333333323</v>
      </c>
      <c r="BE36" s="93">
        <f t="shared" si="9"/>
        <v>10814.833333333332</v>
      </c>
      <c r="BF36" s="115"/>
      <c r="BG36" s="115"/>
      <c r="BH36" s="115"/>
      <c r="BI36" s="115"/>
      <c r="BJ36" s="116">
        <f t="shared" si="10"/>
        <v>92663.083333333328</v>
      </c>
      <c r="BK36" s="116">
        <f t="shared" si="11"/>
        <v>89418.783333333326</v>
      </c>
      <c r="BL36" s="487">
        <f t="shared" si="12"/>
        <v>3244.3000000000029</v>
      </c>
      <c r="BM36" s="410"/>
      <c r="BN36" s="410"/>
      <c r="BO36" s="410"/>
      <c r="BP36" s="410"/>
      <c r="BQ36" s="410"/>
      <c r="CD36" s="343" t="s">
        <v>374</v>
      </c>
      <c r="CE36" s="409">
        <v>1.17</v>
      </c>
    </row>
    <row r="37" spans="1:83" s="411" customFormat="1" ht="12" customHeight="1">
      <c r="A37" s="393">
        <v>19</v>
      </c>
      <c r="B37" s="115" t="s">
        <v>175</v>
      </c>
      <c r="C37" s="115" t="s">
        <v>370</v>
      </c>
      <c r="D37" s="115" t="s">
        <v>403</v>
      </c>
      <c r="E37" s="115" t="s">
        <v>176</v>
      </c>
      <c r="F37" s="394">
        <v>9</v>
      </c>
      <c r="G37" s="115" t="s">
        <v>544</v>
      </c>
      <c r="H37" s="115" t="s">
        <v>374</v>
      </c>
      <c r="I37" s="516">
        <f t="shared" si="14"/>
        <v>1.1666666666666667</v>
      </c>
      <c r="J37" s="393">
        <v>17697</v>
      </c>
      <c r="K37" s="116">
        <v>50083</v>
      </c>
      <c r="L37" s="115">
        <v>18</v>
      </c>
      <c r="M37" s="115">
        <v>18</v>
      </c>
      <c r="N37" s="520">
        <v>0.5</v>
      </c>
      <c r="O37" s="115">
        <v>21</v>
      </c>
      <c r="P37" s="115"/>
      <c r="Q37" s="115"/>
      <c r="R37" s="506">
        <f t="shared" si="2"/>
        <v>58430.166666666664</v>
      </c>
      <c r="S37" s="506">
        <f t="shared" si="3"/>
        <v>0</v>
      </c>
      <c r="T37" s="506">
        <f t="shared" si="4"/>
        <v>0</v>
      </c>
      <c r="U37" s="323">
        <v>0.05</v>
      </c>
      <c r="V37" s="507">
        <v>0.15</v>
      </c>
      <c r="W37" s="347">
        <f t="shared" si="15"/>
        <v>14607.541666666666</v>
      </c>
      <c r="X37" s="323">
        <v>0.1</v>
      </c>
      <c r="Y37" s="323">
        <v>0.2</v>
      </c>
      <c r="Z37" s="521">
        <v>0.125</v>
      </c>
      <c r="AA37" s="323">
        <v>0.25</v>
      </c>
      <c r="AB37" s="522">
        <v>0.15</v>
      </c>
      <c r="AC37" s="522">
        <v>0.3</v>
      </c>
      <c r="AD37" s="510">
        <v>18</v>
      </c>
      <c r="AE37" s="510"/>
      <c r="AF37" s="510"/>
      <c r="AG37" s="510"/>
      <c r="AH37" s="510"/>
      <c r="AI37" s="510"/>
      <c r="AJ37" s="510">
        <f>J37*X37</f>
        <v>1769.7</v>
      </c>
      <c r="AK37" s="510"/>
      <c r="AL37" s="511">
        <f t="shared" si="19"/>
        <v>0</v>
      </c>
      <c r="AM37" s="511">
        <f t="shared" si="20"/>
        <v>0</v>
      </c>
      <c r="AN37" s="512">
        <f t="shared" si="21"/>
        <v>0</v>
      </c>
      <c r="AO37" s="511">
        <f t="shared" si="18"/>
        <v>0</v>
      </c>
      <c r="AP37" s="116"/>
      <c r="AQ37" s="511"/>
      <c r="AR37" s="116"/>
      <c r="AS37" s="510">
        <f t="shared" si="16"/>
        <v>0</v>
      </c>
      <c r="AT37" s="116"/>
      <c r="AU37" s="510"/>
      <c r="AV37" s="510">
        <v>2212</v>
      </c>
      <c r="AW37" s="116"/>
      <c r="AX37" s="116"/>
      <c r="AY37" s="115"/>
      <c r="AZ37" s="115"/>
      <c r="BA37" s="115"/>
      <c r="BB37" s="518"/>
      <c r="BC37" s="515">
        <f>17697*15%/18*21</f>
        <v>3096.9749999999999</v>
      </c>
      <c r="BD37" s="490">
        <f t="shared" si="13"/>
        <v>7226.2749999999996</v>
      </c>
      <c r="BE37" s="93">
        <f t="shared" si="9"/>
        <v>10323.25</v>
      </c>
      <c r="BF37" s="115"/>
      <c r="BG37" s="115"/>
      <c r="BH37" s="115"/>
      <c r="BI37" s="115"/>
      <c r="BJ37" s="116">
        <f t="shared" si="10"/>
        <v>87342.658333333326</v>
      </c>
      <c r="BK37" s="116">
        <f t="shared" si="11"/>
        <v>84245.833333333328</v>
      </c>
      <c r="BL37" s="487">
        <f t="shared" si="12"/>
        <v>3096.8249999999971</v>
      </c>
      <c r="BM37" s="410"/>
      <c r="BN37" s="410"/>
      <c r="BO37" s="410"/>
      <c r="BP37" s="410"/>
      <c r="BQ37" s="410"/>
      <c r="CD37" s="343" t="s">
        <v>374</v>
      </c>
      <c r="CE37" s="409">
        <v>1.17</v>
      </c>
    </row>
    <row r="38" spans="1:83" s="411" customFormat="1" ht="12" customHeight="1">
      <c r="A38" s="393">
        <v>20</v>
      </c>
      <c r="B38" s="115" t="s">
        <v>128</v>
      </c>
      <c r="C38" s="115" t="s">
        <v>392</v>
      </c>
      <c r="D38" s="115" t="s">
        <v>442</v>
      </c>
      <c r="E38" s="115"/>
      <c r="F38" s="394">
        <v>11</v>
      </c>
      <c r="G38" s="115" t="s">
        <v>555</v>
      </c>
      <c r="H38" s="115"/>
      <c r="I38" s="516">
        <f t="shared" si="14"/>
        <v>1.1111111111111112</v>
      </c>
      <c r="J38" s="393">
        <v>17697</v>
      </c>
      <c r="K38" s="116">
        <v>39818</v>
      </c>
      <c r="L38" s="115">
        <v>18</v>
      </c>
      <c r="M38" s="115">
        <v>18</v>
      </c>
      <c r="N38" s="520"/>
      <c r="O38" s="115">
        <v>20</v>
      </c>
      <c r="P38" s="115"/>
      <c r="Q38" s="115"/>
      <c r="R38" s="506">
        <f t="shared" si="2"/>
        <v>44242.222222222226</v>
      </c>
      <c r="S38" s="506">
        <f t="shared" si="3"/>
        <v>0</v>
      </c>
      <c r="T38" s="506">
        <f t="shared" si="4"/>
        <v>0</v>
      </c>
      <c r="U38" s="323">
        <v>0.05</v>
      </c>
      <c r="V38" s="507">
        <v>0.15</v>
      </c>
      <c r="W38" s="347">
        <f t="shared" si="15"/>
        <v>11060.555555555557</v>
      </c>
      <c r="X38" s="323">
        <v>0.1</v>
      </c>
      <c r="Y38" s="323">
        <v>0.2</v>
      </c>
      <c r="Z38" s="521">
        <v>0.125</v>
      </c>
      <c r="AA38" s="323">
        <v>0.25</v>
      </c>
      <c r="AB38" s="522">
        <v>0.15</v>
      </c>
      <c r="AC38" s="522">
        <v>0.3</v>
      </c>
      <c r="AD38" s="510">
        <v>18</v>
      </c>
      <c r="AE38" s="510"/>
      <c r="AF38" s="510"/>
      <c r="AG38" s="510"/>
      <c r="AH38" s="510"/>
      <c r="AI38" s="510"/>
      <c r="AJ38" s="510">
        <f>J38*X38</f>
        <v>1769.7</v>
      </c>
      <c r="AK38" s="510">
        <f t="shared" si="17"/>
        <v>0</v>
      </c>
      <c r="AL38" s="511">
        <f t="shared" si="19"/>
        <v>0</v>
      </c>
      <c r="AM38" s="511">
        <f t="shared" si="20"/>
        <v>0</v>
      </c>
      <c r="AN38" s="512">
        <f t="shared" si="21"/>
        <v>0</v>
      </c>
      <c r="AO38" s="511">
        <f t="shared" si="18"/>
        <v>0</v>
      </c>
      <c r="AP38" s="116"/>
      <c r="AQ38" s="511"/>
      <c r="AR38" s="116"/>
      <c r="AS38" s="510">
        <f t="shared" si="16"/>
        <v>0</v>
      </c>
      <c r="AT38" s="116"/>
      <c r="AU38" s="510"/>
      <c r="AV38" s="510">
        <v>2212</v>
      </c>
      <c r="AW38" s="527"/>
      <c r="AX38" s="116"/>
      <c r="AY38" s="115"/>
      <c r="AZ38" s="115"/>
      <c r="BA38" s="115"/>
      <c r="BB38" s="518"/>
      <c r="BC38" s="518"/>
      <c r="BD38" s="518"/>
      <c r="BE38" s="93">
        <f t="shared" si="9"/>
        <v>0</v>
      </c>
      <c r="BF38" s="115"/>
      <c r="BG38" s="115"/>
      <c r="BH38" s="115"/>
      <c r="BI38" s="115"/>
      <c r="BJ38" s="116">
        <f t="shared" si="10"/>
        <v>59284.477777777778</v>
      </c>
      <c r="BK38" s="116">
        <f t="shared" si="11"/>
        <v>59284.62777777778</v>
      </c>
      <c r="BL38" s="487">
        <f t="shared" si="12"/>
        <v>-0.15000000000145519</v>
      </c>
      <c r="BM38" s="410"/>
      <c r="BN38" s="410"/>
      <c r="BO38" s="410"/>
      <c r="BP38" s="410"/>
      <c r="BQ38" s="410"/>
      <c r="CD38" s="343" t="s">
        <v>477</v>
      </c>
      <c r="CE38" s="409">
        <v>1.17</v>
      </c>
    </row>
    <row r="39" spans="1:83" s="411" customFormat="1" ht="12" customHeight="1">
      <c r="A39" s="393">
        <v>21</v>
      </c>
      <c r="B39" s="115" t="s">
        <v>177</v>
      </c>
      <c r="C39" s="115" t="s">
        <v>476</v>
      </c>
      <c r="D39" s="115" t="s">
        <v>403</v>
      </c>
      <c r="E39" s="115" t="s">
        <v>178</v>
      </c>
      <c r="F39" s="394">
        <v>9</v>
      </c>
      <c r="G39" s="115" t="s">
        <v>556</v>
      </c>
      <c r="H39" s="115" t="s">
        <v>374</v>
      </c>
      <c r="I39" s="516">
        <f t="shared" si="14"/>
        <v>1.1111111111111112</v>
      </c>
      <c r="J39" s="393">
        <v>17697</v>
      </c>
      <c r="K39" s="116">
        <v>50083</v>
      </c>
      <c r="L39" s="115">
        <v>18</v>
      </c>
      <c r="M39" s="115">
        <v>18</v>
      </c>
      <c r="N39" s="520">
        <v>0.5</v>
      </c>
      <c r="O39" s="115"/>
      <c r="P39" s="115">
        <v>14</v>
      </c>
      <c r="Q39" s="115">
        <v>6</v>
      </c>
      <c r="R39" s="506">
        <f t="shared" si="2"/>
        <v>0</v>
      </c>
      <c r="S39" s="506">
        <f t="shared" si="3"/>
        <v>38953.444444444438</v>
      </c>
      <c r="T39" s="506">
        <f t="shared" si="4"/>
        <v>16694.333333333332</v>
      </c>
      <c r="U39" s="323">
        <v>0.05</v>
      </c>
      <c r="V39" s="507">
        <v>0.15</v>
      </c>
      <c r="W39" s="347">
        <f t="shared" si="15"/>
        <v>13911.944444444442</v>
      </c>
      <c r="X39" s="323">
        <v>0.1</v>
      </c>
      <c r="Y39" s="323">
        <v>0.2</v>
      </c>
      <c r="Z39" s="521">
        <v>0.125</v>
      </c>
      <c r="AA39" s="323">
        <v>0.25</v>
      </c>
      <c r="AB39" s="522">
        <v>0.15</v>
      </c>
      <c r="AC39" s="522">
        <v>0.3</v>
      </c>
      <c r="AD39" s="510"/>
      <c r="AE39" s="510"/>
      <c r="AF39" s="510"/>
      <c r="AG39" s="510"/>
      <c r="AH39" s="510"/>
      <c r="AI39" s="510"/>
      <c r="AJ39" s="512">
        <f>J39*X39/L39*AD39</f>
        <v>0</v>
      </c>
      <c r="AK39" s="510">
        <f t="shared" si="17"/>
        <v>0</v>
      </c>
      <c r="AL39" s="511">
        <f t="shared" si="19"/>
        <v>0</v>
      </c>
      <c r="AM39" s="511">
        <f t="shared" si="20"/>
        <v>0</v>
      </c>
      <c r="AN39" s="512">
        <f t="shared" si="21"/>
        <v>0</v>
      </c>
      <c r="AO39" s="511">
        <f t="shared" si="18"/>
        <v>0</v>
      </c>
      <c r="AP39" s="115"/>
      <c r="AQ39" s="511"/>
      <c r="AR39" s="116"/>
      <c r="AS39" s="510">
        <f t="shared" si="16"/>
        <v>0</v>
      </c>
      <c r="AT39" s="116"/>
      <c r="AU39" s="510"/>
      <c r="AV39" s="510"/>
      <c r="AW39" s="115"/>
      <c r="AX39" s="116"/>
      <c r="AY39" s="115"/>
      <c r="AZ39" s="115"/>
      <c r="BA39" s="115"/>
      <c r="BB39" s="116">
        <v>7964</v>
      </c>
      <c r="BC39" s="515">
        <f>17697*15%/18*20</f>
        <v>2949.5</v>
      </c>
      <c r="BD39" s="490">
        <f t="shared" ref="BD39:BD44" si="22">BE39-BC39</f>
        <v>6882.1666666666661</v>
      </c>
      <c r="BE39" s="93">
        <f t="shared" si="9"/>
        <v>9831.6666666666661</v>
      </c>
      <c r="BF39" s="115"/>
      <c r="BG39" s="115"/>
      <c r="BH39" s="115"/>
      <c r="BI39" s="115"/>
      <c r="BJ39" s="116">
        <f t="shared" si="10"/>
        <v>87355.388888888876</v>
      </c>
      <c r="BK39" s="116">
        <f t="shared" si="11"/>
        <v>84406.03888888887</v>
      </c>
      <c r="BL39" s="487">
        <f t="shared" si="12"/>
        <v>2949.3500000000058</v>
      </c>
      <c r="BM39" s="410"/>
      <c r="BN39" s="410"/>
      <c r="BO39" s="410"/>
      <c r="BP39" s="410"/>
      <c r="BQ39" s="410"/>
      <c r="CD39" s="343" t="s">
        <v>374</v>
      </c>
      <c r="CE39" s="409">
        <v>1.17</v>
      </c>
    </row>
    <row r="40" spans="1:83" s="411" customFormat="1" ht="12" customHeight="1">
      <c r="A40" s="393">
        <v>22</v>
      </c>
      <c r="B40" s="115" t="s">
        <v>179</v>
      </c>
      <c r="C40" s="115" t="s">
        <v>393</v>
      </c>
      <c r="D40" s="115" t="s">
        <v>403</v>
      </c>
      <c r="E40" s="115"/>
      <c r="F40" s="394">
        <v>9</v>
      </c>
      <c r="G40" s="115" t="s">
        <v>557</v>
      </c>
      <c r="H40" s="115" t="s">
        <v>374</v>
      </c>
      <c r="I40" s="516">
        <f t="shared" si="14"/>
        <v>1.1666666666666667</v>
      </c>
      <c r="J40" s="393">
        <v>17697</v>
      </c>
      <c r="K40" s="116">
        <v>50083</v>
      </c>
      <c r="L40" s="115">
        <v>18</v>
      </c>
      <c r="M40" s="115">
        <v>18</v>
      </c>
      <c r="N40" s="520">
        <v>0.5</v>
      </c>
      <c r="O40" s="115">
        <v>21</v>
      </c>
      <c r="P40" s="115"/>
      <c r="Q40" s="115"/>
      <c r="R40" s="506">
        <f t="shared" si="2"/>
        <v>58430.166666666664</v>
      </c>
      <c r="S40" s="506">
        <f t="shared" si="3"/>
        <v>0</v>
      </c>
      <c r="T40" s="506">
        <f t="shared" si="4"/>
        <v>0</v>
      </c>
      <c r="U40" s="323">
        <v>0.05</v>
      </c>
      <c r="V40" s="507">
        <v>0.15</v>
      </c>
      <c r="W40" s="347">
        <f t="shared" si="15"/>
        <v>14607.541666666666</v>
      </c>
      <c r="X40" s="323">
        <v>0.1</v>
      </c>
      <c r="Y40" s="323">
        <v>0.2</v>
      </c>
      <c r="Z40" s="521">
        <v>0.125</v>
      </c>
      <c r="AA40" s="323">
        <v>0.25</v>
      </c>
      <c r="AB40" s="522">
        <v>0.15</v>
      </c>
      <c r="AC40" s="522">
        <v>0.3</v>
      </c>
      <c r="AD40" s="510"/>
      <c r="AE40" s="510">
        <v>18</v>
      </c>
      <c r="AF40" s="510"/>
      <c r="AG40" s="510"/>
      <c r="AH40" s="510"/>
      <c r="AI40" s="510"/>
      <c r="AJ40" s="512"/>
      <c r="AK40" s="510">
        <v>3539</v>
      </c>
      <c r="AL40" s="511">
        <f t="shared" si="19"/>
        <v>0</v>
      </c>
      <c r="AM40" s="511">
        <f t="shared" si="20"/>
        <v>0</v>
      </c>
      <c r="AN40" s="512">
        <f t="shared" si="21"/>
        <v>0</v>
      </c>
      <c r="AO40" s="511">
        <f t="shared" si="18"/>
        <v>0</v>
      </c>
      <c r="AP40" s="115"/>
      <c r="AQ40" s="511"/>
      <c r="AR40" s="116"/>
      <c r="AS40" s="510">
        <f t="shared" si="16"/>
        <v>0</v>
      </c>
      <c r="AT40" s="116"/>
      <c r="AU40" s="510"/>
      <c r="AV40" s="510"/>
      <c r="AW40" s="527">
        <v>4424</v>
      </c>
      <c r="AX40" s="116"/>
      <c r="AY40" s="115"/>
      <c r="AZ40" s="116"/>
      <c r="BA40" s="115"/>
      <c r="BB40" s="518"/>
      <c r="BC40" s="515">
        <f>17697*15%/18*21</f>
        <v>3096.9749999999999</v>
      </c>
      <c r="BD40" s="490">
        <f t="shared" si="22"/>
        <v>7226.2749999999996</v>
      </c>
      <c r="BE40" s="93">
        <f t="shared" si="9"/>
        <v>10323.25</v>
      </c>
      <c r="BF40" s="115"/>
      <c r="BG40" s="115"/>
      <c r="BH40" s="115"/>
      <c r="BI40" s="115"/>
      <c r="BJ40" s="116">
        <f t="shared" si="10"/>
        <v>91323.958333333328</v>
      </c>
      <c r="BK40" s="116">
        <f t="shared" si="11"/>
        <v>88227.133333333331</v>
      </c>
      <c r="BL40" s="487">
        <f t="shared" si="12"/>
        <v>3096.8249999999971</v>
      </c>
      <c r="BM40" s="410"/>
      <c r="BN40" s="410"/>
      <c r="BO40" s="410"/>
      <c r="BP40" s="410"/>
      <c r="BQ40" s="410"/>
      <c r="CD40" s="343" t="s">
        <v>477</v>
      </c>
      <c r="CE40" s="409">
        <v>1.28</v>
      </c>
    </row>
    <row r="41" spans="1:83" s="411" customFormat="1" ht="12" customHeight="1">
      <c r="A41" s="393">
        <v>23</v>
      </c>
      <c r="B41" s="115" t="s">
        <v>126</v>
      </c>
      <c r="C41" s="115" t="s">
        <v>353</v>
      </c>
      <c r="D41" s="115" t="s">
        <v>403</v>
      </c>
      <c r="E41" s="115" t="s">
        <v>180</v>
      </c>
      <c r="F41" s="394">
        <v>9</v>
      </c>
      <c r="G41" s="115" t="s">
        <v>558</v>
      </c>
      <c r="H41" s="115" t="s">
        <v>374</v>
      </c>
      <c r="I41" s="516">
        <f t="shared" si="14"/>
        <v>0.75</v>
      </c>
      <c r="J41" s="393">
        <v>17697</v>
      </c>
      <c r="K41" s="116">
        <v>50967</v>
      </c>
      <c r="L41" s="480">
        <v>18</v>
      </c>
      <c r="M41" s="115">
        <v>18</v>
      </c>
      <c r="N41" s="534">
        <v>0.5</v>
      </c>
      <c r="O41" s="115"/>
      <c r="P41" s="115">
        <v>7.5</v>
      </c>
      <c r="Q41" s="115">
        <v>6</v>
      </c>
      <c r="R41" s="506">
        <f t="shared" si="2"/>
        <v>0</v>
      </c>
      <c r="S41" s="506">
        <f t="shared" si="3"/>
        <v>21236.25</v>
      </c>
      <c r="T41" s="506">
        <f t="shared" si="4"/>
        <v>16989</v>
      </c>
      <c r="U41" s="323">
        <v>0.05</v>
      </c>
      <c r="V41" s="507">
        <v>0.15</v>
      </c>
      <c r="W41" s="347">
        <f t="shared" si="15"/>
        <v>9556.3125</v>
      </c>
      <c r="X41" s="323">
        <v>0.1</v>
      </c>
      <c r="Y41" s="323">
        <v>0.2</v>
      </c>
      <c r="Z41" s="521">
        <v>0.125</v>
      </c>
      <c r="AA41" s="323">
        <v>0.25</v>
      </c>
      <c r="AB41" s="522">
        <v>0.15</v>
      </c>
      <c r="AC41" s="522">
        <v>0.3</v>
      </c>
      <c r="AD41" s="510"/>
      <c r="AE41" s="510"/>
      <c r="AF41" s="525">
        <v>7.5</v>
      </c>
      <c r="AG41" s="525"/>
      <c r="AH41" s="510">
        <v>6</v>
      </c>
      <c r="AI41" s="510"/>
      <c r="AJ41" s="510"/>
      <c r="AK41" s="510">
        <f t="shared" ref="AK41:AK47" si="23">K41*Y41/M41*AE41</f>
        <v>0</v>
      </c>
      <c r="AL41" s="511">
        <f t="shared" si="19"/>
        <v>737.375</v>
      </c>
      <c r="AM41" s="511">
        <f t="shared" si="20"/>
        <v>0</v>
      </c>
      <c r="AN41" s="512">
        <f t="shared" si="21"/>
        <v>589.9</v>
      </c>
      <c r="AO41" s="511">
        <f t="shared" si="18"/>
        <v>0</v>
      </c>
      <c r="AP41" s="115"/>
      <c r="AQ41" s="511"/>
      <c r="AR41" s="116"/>
      <c r="AS41" s="510">
        <f t="shared" si="16"/>
        <v>0</v>
      </c>
      <c r="AT41" s="116"/>
      <c r="AU41" s="510"/>
      <c r="AV41" s="510"/>
      <c r="AW41" s="116"/>
      <c r="AX41" s="526"/>
      <c r="AY41" s="115"/>
      <c r="AZ41" s="526"/>
      <c r="BA41" s="115"/>
      <c r="BB41" s="116"/>
      <c r="BC41" s="515">
        <f>17697*15%/18*13.5</f>
        <v>1990.9124999999999</v>
      </c>
      <c r="BD41" s="490">
        <f t="shared" si="22"/>
        <v>4645.4624999999996</v>
      </c>
      <c r="BE41" s="93">
        <f t="shared" si="9"/>
        <v>6636.375</v>
      </c>
      <c r="BF41" s="529"/>
      <c r="BG41" s="115"/>
      <c r="BH41" s="115"/>
      <c r="BI41" s="115"/>
      <c r="BJ41" s="116">
        <f t="shared" si="10"/>
        <v>55745.212500000001</v>
      </c>
      <c r="BK41" s="116">
        <f t="shared" si="11"/>
        <v>53754.450000000004</v>
      </c>
      <c r="BL41" s="487">
        <f t="shared" si="12"/>
        <v>1990.7624999999971</v>
      </c>
      <c r="BM41" s="410"/>
      <c r="BN41" s="410"/>
      <c r="BO41" s="410"/>
      <c r="BP41" s="410"/>
      <c r="BQ41" s="410"/>
      <c r="CD41" s="343" t="s">
        <v>374</v>
      </c>
      <c r="CE41" s="409">
        <v>0.81</v>
      </c>
    </row>
    <row r="42" spans="1:83" s="411" customFormat="1" ht="12" customHeight="1">
      <c r="A42" s="393">
        <v>24</v>
      </c>
      <c r="B42" s="115" t="s">
        <v>559</v>
      </c>
      <c r="C42" s="115" t="s">
        <v>356</v>
      </c>
      <c r="D42" s="115" t="s">
        <v>403</v>
      </c>
      <c r="E42" s="115"/>
      <c r="F42" s="394">
        <v>9</v>
      </c>
      <c r="G42" s="115" t="s">
        <v>560</v>
      </c>
      <c r="H42" s="115" t="s">
        <v>477</v>
      </c>
      <c r="I42" s="516">
        <f t="shared" si="14"/>
        <v>0.61111111111111116</v>
      </c>
      <c r="J42" s="393">
        <v>17697</v>
      </c>
      <c r="K42" s="116">
        <v>50967</v>
      </c>
      <c r="L42" s="480">
        <v>18</v>
      </c>
      <c r="M42" s="115">
        <v>18</v>
      </c>
      <c r="N42" s="534">
        <v>0.3</v>
      </c>
      <c r="O42" s="115"/>
      <c r="P42" s="115">
        <v>5</v>
      </c>
      <c r="Q42" s="115">
        <v>6</v>
      </c>
      <c r="R42" s="506">
        <f t="shared" si="2"/>
        <v>0</v>
      </c>
      <c r="S42" s="506">
        <f>K42/L42*P42</f>
        <v>14157.5</v>
      </c>
      <c r="T42" s="506">
        <f>K42/L42*Q42</f>
        <v>16989</v>
      </c>
      <c r="U42" s="323">
        <v>0.05</v>
      </c>
      <c r="V42" s="507">
        <v>0.15</v>
      </c>
      <c r="W42" s="347">
        <f>(R42+S42+T42)*25%</f>
        <v>7786.625</v>
      </c>
      <c r="X42" s="323">
        <v>0.1</v>
      </c>
      <c r="Y42" s="323">
        <v>0.2</v>
      </c>
      <c r="Z42" s="521">
        <v>0.125</v>
      </c>
      <c r="AA42" s="323">
        <v>0.25</v>
      </c>
      <c r="AB42" s="522">
        <v>0.15</v>
      </c>
      <c r="AC42" s="522">
        <v>0.3</v>
      </c>
      <c r="AD42" s="510"/>
      <c r="AE42" s="510"/>
      <c r="AF42" s="525">
        <v>5</v>
      </c>
      <c r="AG42" s="525"/>
      <c r="AH42" s="510">
        <v>6</v>
      </c>
      <c r="AI42" s="510"/>
      <c r="AJ42" s="512"/>
      <c r="AK42" s="510">
        <f>K42*Y42/M42*AE42</f>
        <v>0</v>
      </c>
      <c r="AL42" s="511">
        <f>J42*X42/L42*AF42</f>
        <v>491.58333333333331</v>
      </c>
      <c r="AM42" s="511">
        <f>J42*Y42/L42*AG42</f>
        <v>0</v>
      </c>
      <c r="AN42" s="512">
        <f>J42*X42/L42*AH42</f>
        <v>589.9</v>
      </c>
      <c r="AO42" s="511"/>
      <c r="AP42" s="115"/>
      <c r="AQ42" s="511"/>
      <c r="AR42" s="116"/>
      <c r="AS42" s="510"/>
      <c r="AT42" s="116"/>
      <c r="AU42" s="510"/>
      <c r="AV42" s="510"/>
      <c r="AW42" s="116"/>
      <c r="AX42" s="526"/>
      <c r="AY42" s="115"/>
      <c r="AZ42" s="526"/>
      <c r="BA42" s="115"/>
      <c r="BB42" s="116"/>
      <c r="BC42" s="515">
        <f>17697*10%/18*11</f>
        <v>1081.4833333333333</v>
      </c>
      <c r="BD42" s="490">
        <f t="shared" si="22"/>
        <v>2162.9666666666662</v>
      </c>
      <c r="BE42" s="93">
        <f>(J42*N42)/L42*(O42+P42+Q42)</f>
        <v>3244.45</v>
      </c>
      <c r="BF42" s="529"/>
      <c r="BG42" s="115"/>
      <c r="BH42" s="115"/>
      <c r="BI42" s="115"/>
      <c r="BJ42" s="116">
        <f t="shared" si="10"/>
        <v>43259.058333333334</v>
      </c>
      <c r="BK42" s="116">
        <f t="shared" si="11"/>
        <v>42177.724999999999</v>
      </c>
      <c r="BL42" s="487">
        <f t="shared" si="12"/>
        <v>1081.3333333333358</v>
      </c>
      <c r="BM42" s="410"/>
      <c r="BN42" s="410"/>
      <c r="BO42" s="410"/>
      <c r="BP42" s="410"/>
      <c r="BQ42" s="410"/>
      <c r="CD42" s="343"/>
      <c r="CE42" s="409"/>
    </row>
    <row r="43" spans="1:83" s="411" customFormat="1" ht="12" customHeight="1">
      <c r="A43" s="393">
        <v>25</v>
      </c>
      <c r="B43" s="115" t="s">
        <v>181</v>
      </c>
      <c r="C43" s="115" t="s">
        <v>390</v>
      </c>
      <c r="D43" s="115" t="s">
        <v>403</v>
      </c>
      <c r="E43" s="115"/>
      <c r="F43" s="394">
        <v>9</v>
      </c>
      <c r="G43" s="115" t="s">
        <v>561</v>
      </c>
      <c r="H43" s="115" t="s">
        <v>374</v>
      </c>
      <c r="I43" s="516">
        <f t="shared" si="14"/>
        <v>1.0555555555555556</v>
      </c>
      <c r="J43" s="393">
        <v>17697</v>
      </c>
      <c r="K43" s="116">
        <v>50967</v>
      </c>
      <c r="L43" s="480">
        <v>18</v>
      </c>
      <c r="M43" s="115">
        <v>18</v>
      </c>
      <c r="N43" s="534">
        <v>0.5</v>
      </c>
      <c r="O43" s="115">
        <v>2</v>
      </c>
      <c r="P43" s="115">
        <v>17</v>
      </c>
      <c r="Q43" s="115"/>
      <c r="R43" s="506">
        <f t="shared" si="2"/>
        <v>5663</v>
      </c>
      <c r="S43" s="506">
        <f t="shared" si="3"/>
        <v>48135.5</v>
      </c>
      <c r="T43" s="506">
        <f t="shared" si="4"/>
        <v>0</v>
      </c>
      <c r="U43" s="323">
        <v>0.05</v>
      </c>
      <c r="V43" s="507">
        <v>0.15</v>
      </c>
      <c r="W43" s="347">
        <f t="shared" si="15"/>
        <v>13449.625</v>
      </c>
      <c r="X43" s="323">
        <v>0.1</v>
      </c>
      <c r="Y43" s="323">
        <v>0.2</v>
      </c>
      <c r="Z43" s="521">
        <v>0.125</v>
      </c>
      <c r="AA43" s="323">
        <v>0.25</v>
      </c>
      <c r="AB43" s="522">
        <v>0.15</v>
      </c>
      <c r="AC43" s="522">
        <v>0.3</v>
      </c>
      <c r="AD43" s="510">
        <v>2</v>
      </c>
      <c r="AE43" s="510"/>
      <c r="AF43" s="510">
        <v>17</v>
      </c>
      <c r="AG43" s="525"/>
      <c r="AH43" s="510"/>
      <c r="AI43" s="510"/>
      <c r="AJ43" s="512">
        <f>J43*X43/L43*AD43</f>
        <v>196.63333333333333</v>
      </c>
      <c r="AK43" s="92">
        <f>J43*AA43/M43*AE43</f>
        <v>0</v>
      </c>
      <c r="AL43" s="383">
        <f>J43*Z43/L43*AF43</f>
        <v>2089.2291666666665</v>
      </c>
      <c r="AM43" s="383">
        <f>J43*AA43/L43*AG43</f>
        <v>0</v>
      </c>
      <c r="AN43" s="383">
        <f>J43*Z43/L43*AH43</f>
        <v>0</v>
      </c>
      <c r="AO43" s="383">
        <f>J43*Y43/L43*AI43</f>
        <v>0</v>
      </c>
      <c r="AP43" s="115">
        <v>2</v>
      </c>
      <c r="AQ43" s="511">
        <f>J43*AA43/M43*AP43</f>
        <v>491.58333333333331</v>
      </c>
      <c r="AR43" s="116">
        <v>17</v>
      </c>
      <c r="AS43" s="510">
        <f t="shared" si="16"/>
        <v>4178.458333333333</v>
      </c>
      <c r="AT43" s="116"/>
      <c r="AU43" s="510">
        <f>J43*AA43/L43*AT43</f>
        <v>0</v>
      </c>
      <c r="AV43" s="115"/>
      <c r="AW43" s="116"/>
      <c r="AX43" s="526"/>
      <c r="AY43" s="115"/>
      <c r="AZ43" s="526"/>
      <c r="BA43" s="115"/>
      <c r="BB43" s="116"/>
      <c r="BC43" s="515">
        <f>17697*15%/18*19</f>
        <v>2802.0250000000001</v>
      </c>
      <c r="BD43" s="490">
        <f t="shared" si="22"/>
        <v>6538.0583333333325</v>
      </c>
      <c r="BE43" s="93">
        <f t="shared" si="9"/>
        <v>9340.0833333333321</v>
      </c>
      <c r="BF43" s="529">
        <v>3539</v>
      </c>
      <c r="BG43" s="115"/>
      <c r="BH43" s="115"/>
      <c r="BI43" s="115"/>
      <c r="BJ43" s="116">
        <f t="shared" si="10"/>
        <v>87083.112499999988</v>
      </c>
      <c r="BK43" s="116">
        <f t="shared" si="11"/>
        <v>84281.237500000003</v>
      </c>
      <c r="BL43" s="487">
        <f t="shared" si="12"/>
        <v>2801.8749999999854</v>
      </c>
      <c r="BM43" s="410"/>
      <c r="BN43" s="410"/>
      <c r="BO43" s="410"/>
      <c r="BP43" s="410"/>
      <c r="BQ43" s="410"/>
      <c r="CD43" s="343" t="s">
        <v>374</v>
      </c>
      <c r="CE43" s="409">
        <v>1.06</v>
      </c>
    </row>
    <row r="44" spans="1:83" s="411" customFormat="1" ht="12" customHeight="1">
      <c r="A44" s="393">
        <v>26</v>
      </c>
      <c r="B44" s="115" t="s">
        <v>118</v>
      </c>
      <c r="C44" s="115" t="s">
        <v>376</v>
      </c>
      <c r="D44" s="115" t="s">
        <v>403</v>
      </c>
      <c r="E44" s="115"/>
      <c r="F44" s="394">
        <v>9</v>
      </c>
      <c r="G44" s="115" t="s">
        <v>562</v>
      </c>
      <c r="H44" s="115" t="s">
        <v>477</v>
      </c>
      <c r="I44" s="516">
        <f t="shared" si="14"/>
        <v>0.44444444444444442</v>
      </c>
      <c r="J44" s="393">
        <v>17697</v>
      </c>
      <c r="K44" s="116">
        <v>47428</v>
      </c>
      <c r="L44" s="480">
        <v>18</v>
      </c>
      <c r="M44" s="115">
        <v>18</v>
      </c>
      <c r="N44" s="534">
        <v>0.3</v>
      </c>
      <c r="O44" s="115"/>
      <c r="P44" s="115">
        <v>4</v>
      </c>
      <c r="Q44" s="115">
        <v>4</v>
      </c>
      <c r="R44" s="506">
        <f t="shared" si="2"/>
        <v>0</v>
      </c>
      <c r="S44" s="506">
        <f t="shared" si="3"/>
        <v>10539.555555555555</v>
      </c>
      <c r="T44" s="506">
        <f t="shared" si="4"/>
        <v>10539.555555555555</v>
      </c>
      <c r="U44" s="323">
        <v>0.05</v>
      </c>
      <c r="V44" s="507">
        <v>0.15</v>
      </c>
      <c r="W44" s="347">
        <f t="shared" si="15"/>
        <v>5269.7777777777774</v>
      </c>
      <c r="X44" s="323">
        <v>0.1</v>
      </c>
      <c r="Y44" s="323">
        <v>0.2</v>
      </c>
      <c r="Z44" s="521">
        <v>0.125</v>
      </c>
      <c r="AA44" s="323">
        <v>0.25</v>
      </c>
      <c r="AB44" s="522">
        <v>0.15</v>
      </c>
      <c r="AC44" s="522">
        <v>0.3</v>
      </c>
      <c r="AD44" s="510"/>
      <c r="AE44" s="510"/>
      <c r="AF44" s="525">
        <v>4</v>
      </c>
      <c r="AG44" s="525"/>
      <c r="AH44" s="510">
        <v>4</v>
      </c>
      <c r="AI44" s="510"/>
      <c r="AJ44" s="116"/>
      <c r="AK44" s="510">
        <f t="shared" si="23"/>
        <v>0</v>
      </c>
      <c r="AL44" s="511">
        <f t="shared" si="19"/>
        <v>393.26666666666665</v>
      </c>
      <c r="AM44" s="511">
        <f t="shared" si="20"/>
        <v>0</v>
      </c>
      <c r="AN44" s="512">
        <f t="shared" si="21"/>
        <v>393.26666666666665</v>
      </c>
      <c r="AO44" s="511">
        <f t="shared" si="18"/>
        <v>0</v>
      </c>
      <c r="AP44" s="115"/>
      <c r="AQ44" s="116"/>
      <c r="AR44" s="116"/>
      <c r="AS44" s="510"/>
      <c r="AT44" s="116"/>
      <c r="AU44" s="510"/>
      <c r="AV44" s="115"/>
      <c r="AW44" s="116"/>
      <c r="AX44" s="526"/>
      <c r="AY44" s="115"/>
      <c r="AZ44" s="116"/>
      <c r="BA44" s="115"/>
      <c r="BB44" s="116"/>
      <c r="BC44" s="490">
        <f>17697*10%/18*8</f>
        <v>786.5333333333333</v>
      </c>
      <c r="BD44" s="490">
        <f t="shared" si="22"/>
        <v>1573.0666666666666</v>
      </c>
      <c r="BE44" s="93">
        <f t="shared" si="9"/>
        <v>2359.6</v>
      </c>
      <c r="BF44" s="529"/>
      <c r="BG44" s="115"/>
      <c r="BH44" s="115"/>
      <c r="BI44" s="115"/>
      <c r="BJ44" s="116">
        <f t="shared" si="10"/>
        <v>29495.022222222218</v>
      </c>
      <c r="BK44" s="116">
        <f t="shared" si="11"/>
        <v>28708.638888888883</v>
      </c>
      <c r="BL44" s="487">
        <f t="shared" si="12"/>
        <v>786.38333333333503</v>
      </c>
      <c r="BM44" s="410"/>
      <c r="BN44" s="410"/>
      <c r="BO44" s="410"/>
      <c r="BP44" s="410"/>
      <c r="BQ44" s="410"/>
      <c r="CD44" s="343"/>
      <c r="CE44" s="409">
        <v>1</v>
      </c>
    </row>
    <row r="45" spans="1:83" s="411" customFormat="1" ht="12" customHeight="1">
      <c r="A45" s="393">
        <v>27</v>
      </c>
      <c r="B45" s="115" t="s">
        <v>222</v>
      </c>
      <c r="C45" s="115" t="s">
        <v>564</v>
      </c>
      <c r="D45" s="115" t="s">
        <v>403</v>
      </c>
      <c r="E45" s="115"/>
      <c r="F45" s="394">
        <v>9</v>
      </c>
      <c r="G45" s="115" t="s">
        <v>563</v>
      </c>
      <c r="H45" s="115"/>
      <c r="I45" s="516">
        <f t="shared" si="14"/>
        <v>0.33333333333333331</v>
      </c>
      <c r="J45" s="393">
        <v>17697</v>
      </c>
      <c r="K45" s="116">
        <v>43181</v>
      </c>
      <c r="L45" s="480">
        <v>18</v>
      </c>
      <c r="M45" s="115">
        <v>18</v>
      </c>
      <c r="N45" s="534"/>
      <c r="O45" s="115">
        <v>2</v>
      </c>
      <c r="P45" s="115">
        <v>4</v>
      </c>
      <c r="Q45" s="115"/>
      <c r="R45" s="506">
        <f t="shared" si="2"/>
        <v>4797.8888888888887</v>
      </c>
      <c r="S45" s="506">
        <f t="shared" si="3"/>
        <v>9595.7777777777774</v>
      </c>
      <c r="T45" s="506">
        <f t="shared" si="4"/>
        <v>0</v>
      </c>
      <c r="U45" s="323">
        <v>0.05</v>
      </c>
      <c r="V45" s="507">
        <v>0.15</v>
      </c>
      <c r="W45" s="347">
        <f t="shared" si="15"/>
        <v>3598.4166666666665</v>
      </c>
      <c r="X45" s="323">
        <v>0.1</v>
      </c>
      <c r="Y45" s="323">
        <v>0.2</v>
      </c>
      <c r="Z45" s="521">
        <v>0.125</v>
      </c>
      <c r="AA45" s="323">
        <v>0.25</v>
      </c>
      <c r="AB45" s="522">
        <v>0.15</v>
      </c>
      <c r="AC45" s="522">
        <v>0.3</v>
      </c>
      <c r="AD45" s="510"/>
      <c r="AE45" s="510"/>
      <c r="AF45" s="525"/>
      <c r="AG45" s="525"/>
      <c r="AH45" s="510"/>
      <c r="AI45" s="510"/>
      <c r="AJ45" s="116"/>
      <c r="AK45" s="510"/>
      <c r="AL45" s="511"/>
      <c r="AM45" s="511"/>
      <c r="AN45" s="512"/>
      <c r="AO45" s="511"/>
      <c r="AP45" s="115"/>
      <c r="AQ45" s="116"/>
      <c r="AR45" s="116"/>
      <c r="AS45" s="510"/>
      <c r="AT45" s="116"/>
      <c r="AU45" s="510"/>
      <c r="AV45" s="115"/>
      <c r="AW45" s="116"/>
      <c r="AX45" s="526"/>
      <c r="AY45" s="115"/>
      <c r="AZ45" s="535"/>
      <c r="BA45" s="115"/>
      <c r="BB45" s="116"/>
      <c r="BC45" s="116"/>
      <c r="BD45" s="116"/>
      <c r="BE45" s="93">
        <f t="shared" si="9"/>
        <v>0</v>
      </c>
      <c r="BF45" s="529"/>
      <c r="BG45" s="115"/>
      <c r="BH45" s="115"/>
      <c r="BI45" s="115"/>
      <c r="BJ45" s="116">
        <f t="shared" si="10"/>
        <v>17992.083333333332</v>
      </c>
      <c r="BK45" s="116">
        <f t="shared" si="11"/>
        <v>17992.233333333334</v>
      </c>
      <c r="BL45" s="487">
        <f t="shared" si="12"/>
        <v>-0.15000000000145519</v>
      </c>
      <c r="BM45" s="410"/>
      <c r="BN45" s="410"/>
      <c r="BO45" s="410"/>
      <c r="BP45" s="410"/>
      <c r="BQ45" s="410"/>
      <c r="CD45" s="343"/>
      <c r="CE45" s="409">
        <v>0.44</v>
      </c>
    </row>
    <row r="46" spans="1:83" s="411" customFormat="1" ht="12" customHeight="1">
      <c r="A46" s="393">
        <v>28</v>
      </c>
      <c r="B46" s="115" t="s">
        <v>197</v>
      </c>
      <c r="C46" s="115" t="s">
        <v>384</v>
      </c>
      <c r="D46" s="115" t="s">
        <v>442</v>
      </c>
      <c r="E46" s="115"/>
      <c r="F46" s="394">
        <v>9</v>
      </c>
      <c r="G46" s="115" t="s">
        <v>299</v>
      </c>
      <c r="H46" s="115"/>
      <c r="I46" s="516">
        <f t="shared" si="14"/>
        <v>0.83333333333333337</v>
      </c>
      <c r="J46" s="393">
        <v>17697</v>
      </c>
      <c r="K46" s="116">
        <v>43181</v>
      </c>
      <c r="L46" s="480">
        <v>18</v>
      </c>
      <c r="M46" s="115">
        <v>18</v>
      </c>
      <c r="N46" s="534"/>
      <c r="O46" s="115">
        <v>12</v>
      </c>
      <c r="P46" s="115">
        <v>3</v>
      </c>
      <c r="Q46" s="115"/>
      <c r="R46" s="506">
        <f t="shared" si="2"/>
        <v>28787.333333333332</v>
      </c>
      <c r="S46" s="506">
        <f t="shared" si="3"/>
        <v>7196.833333333333</v>
      </c>
      <c r="T46" s="506">
        <f t="shared" si="4"/>
        <v>0</v>
      </c>
      <c r="U46" s="323">
        <v>0.05</v>
      </c>
      <c r="V46" s="507">
        <v>0.15</v>
      </c>
      <c r="W46" s="347">
        <f t="shared" si="15"/>
        <v>8996.0416666666661</v>
      </c>
      <c r="X46" s="323">
        <v>0.1</v>
      </c>
      <c r="Y46" s="323">
        <v>0.2</v>
      </c>
      <c r="Z46" s="521">
        <v>0.125</v>
      </c>
      <c r="AA46" s="323">
        <v>0.25</v>
      </c>
      <c r="AB46" s="522">
        <v>0.15</v>
      </c>
      <c r="AC46" s="522">
        <v>0.3</v>
      </c>
      <c r="AD46" s="510"/>
      <c r="AE46" s="510"/>
      <c r="AF46" s="525"/>
      <c r="AG46" s="525"/>
      <c r="AH46" s="510"/>
      <c r="AI46" s="510"/>
      <c r="AJ46" s="116"/>
      <c r="AK46" s="510"/>
      <c r="AL46" s="511"/>
      <c r="AM46" s="511"/>
      <c r="AN46" s="512"/>
      <c r="AO46" s="511"/>
      <c r="AP46" s="115"/>
      <c r="AQ46" s="116"/>
      <c r="AR46" s="116"/>
      <c r="AS46" s="510"/>
      <c r="AT46" s="116"/>
      <c r="AU46" s="510"/>
      <c r="AV46" s="115"/>
      <c r="AW46" s="116"/>
      <c r="AX46" s="526"/>
      <c r="AY46" s="115"/>
      <c r="AZ46" s="535"/>
      <c r="BA46" s="115"/>
      <c r="BB46" s="116"/>
      <c r="BC46" s="116"/>
      <c r="BD46" s="116"/>
      <c r="BE46" s="93">
        <f t="shared" si="9"/>
        <v>0</v>
      </c>
      <c r="BF46" s="529"/>
      <c r="BG46" s="115"/>
      <c r="BH46" s="115"/>
      <c r="BI46" s="115"/>
      <c r="BJ46" s="116">
        <f t="shared" si="10"/>
        <v>44980.208333333328</v>
      </c>
      <c r="BK46" s="116">
        <f t="shared" si="11"/>
        <v>44980.35833333333</v>
      </c>
      <c r="BL46" s="487">
        <f t="shared" si="12"/>
        <v>-0.15000000000145519</v>
      </c>
      <c r="BM46" s="410"/>
      <c r="BN46" s="410"/>
      <c r="BO46" s="410"/>
      <c r="BP46" s="410"/>
      <c r="BQ46" s="410"/>
      <c r="CD46" s="343"/>
      <c r="CE46" s="409">
        <v>0.67</v>
      </c>
    </row>
    <row r="47" spans="1:83" s="411" customFormat="1" ht="12" customHeight="1">
      <c r="A47" s="393">
        <v>29</v>
      </c>
      <c r="B47" s="115" t="s">
        <v>543</v>
      </c>
      <c r="C47" s="115" t="s">
        <v>450</v>
      </c>
      <c r="D47" s="115" t="s">
        <v>403</v>
      </c>
      <c r="E47" s="115"/>
      <c r="F47" s="394">
        <v>9</v>
      </c>
      <c r="G47" s="115" t="s">
        <v>299</v>
      </c>
      <c r="H47" s="115"/>
      <c r="I47" s="516">
        <f t="shared" si="14"/>
        <v>0.80555555555555558</v>
      </c>
      <c r="J47" s="393">
        <v>17697</v>
      </c>
      <c r="K47" s="116">
        <v>42473</v>
      </c>
      <c r="L47" s="480">
        <v>18</v>
      </c>
      <c r="M47" s="115">
        <v>18</v>
      </c>
      <c r="N47" s="534"/>
      <c r="O47" s="115"/>
      <c r="P47" s="115">
        <v>8.5</v>
      </c>
      <c r="Q47" s="115">
        <v>6</v>
      </c>
      <c r="R47" s="506">
        <f t="shared" si="2"/>
        <v>0</v>
      </c>
      <c r="S47" s="506">
        <f t="shared" si="3"/>
        <v>20056.694444444445</v>
      </c>
      <c r="T47" s="506">
        <f t="shared" si="4"/>
        <v>14157.666666666668</v>
      </c>
      <c r="U47" s="323">
        <v>0.05</v>
      </c>
      <c r="V47" s="507">
        <v>0.15</v>
      </c>
      <c r="W47" s="347">
        <f t="shared" si="15"/>
        <v>8553.5902777777774</v>
      </c>
      <c r="X47" s="323">
        <v>0.1</v>
      </c>
      <c r="Y47" s="323">
        <v>0.2</v>
      </c>
      <c r="Z47" s="521">
        <v>0.125</v>
      </c>
      <c r="AA47" s="323">
        <v>0.25</v>
      </c>
      <c r="AB47" s="522">
        <v>0.15</v>
      </c>
      <c r="AC47" s="522">
        <v>0.3</v>
      </c>
      <c r="AD47" s="510"/>
      <c r="AE47" s="510"/>
      <c r="AF47" s="510"/>
      <c r="AG47" s="525"/>
      <c r="AH47" s="510"/>
      <c r="AI47" s="510"/>
      <c r="AJ47" s="116"/>
      <c r="AK47" s="510">
        <f t="shared" si="23"/>
        <v>0</v>
      </c>
      <c r="AL47" s="511">
        <f t="shared" si="19"/>
        <v>0</v>
      </c>
      <c r="AM47" s="511">
        <f t="shared" si="20"/>
        <v>0</v>
      </c>
      <c r="AN47" s="512">
        <f t="shared" si="21"/>
        <v>0</v>
      </c>
      <c r="AO47" s="511">
        <f t="shared" si="18"/>
        <v>0</v>
      </c>
      <c r="AP47" s="115"/>
      <c r="AQ47" s="116"/>
      <c r="AR47" s="116"/>
      <c r="AS47" s="510">
        <f t="shared" si="16"/>
        <v>0</v>
      </c>
      <c r="AT47" s="116"/>
      <c r="AU47" s="510"/>
      <c r="AV47" s="115"/>
      <c r="AW47" s="116"/>
      <c r="AX47" s="511">
        <v>2655</v>
      </c>
      <c r="AY47" s="115"/>
      <c r="AZ47" s="526"/>
      <c r="BA47" s="115"/>
      <c r="BB47" s="116"/>
      <c r="BC47" s="116"/>
      <c r="BD47" s="116"/>
      <c r="BE47" s="93">
        <f t="shared" si="9"/>
        <v>0</v>
      </c>
      <c r="BF47" s="529">
        <v>3539</v>
      </c>
      <c r="BG47" s="115"/>
      <c r="BH47" s="115"/>
      <c r="BI47" s="115"/>
      <c r="BJ47" s="116">
        <f t="shared" si="10"/>
        <v>48961.951388888891</v>
      </c>
      <c r="BK47" s="116">
        <f t="shared" si="11"/>
        <v>48962.101388888885</v>
      </c>
      <c r="BL47" s="487">
        <f t="shared" si="12"/>
        <v>-0.14999999999417923</v>
      </c>
      <c r="BM47" s="410"/>
      <c r="BN47" s="410"/>
      <c r="BO47" s="410"/>
      <c r="BP47" s="410"/>
      <c r="BQ47" s="410"/>
      <c r="CD47" s="343"/>
      <c r="CE47" s="409">
        <v>0.78</v>
      </c>
    </row>
    <row r="48" spans="1:83" ht="12" customHeight="1">
      <c r="A48" s="393"/>
      <c r="B48" s="115" t="s">
        <v>452</v>
      </c>
      <c r="C48" s="115"/>
      <c r="D48" s="115"/>
      <c r="E48" s="115"/>
      <c r="F48" s="394"/>
      <c r="G48" s="115"/>
      <c r="H48" s="115"/>
      <c r="I48" s="345">
        <f>SUM(I21:I47)</f>
        <v>18.555555555555554</v>
      </c>
      <c r="J48" s="115" t="s">
        <v>302</v>
      </c>
      <c r="K48" s="116" t="s">
        <v>302</v>
      </c>
      <c r="L48" s="115">
        <v>18</v>
      </c>
      <c r="M48" s="115">
        <v>18</v>
      </c>
      <c r="N48" s="323"/>
      <c r="O48" s="116">
        <f t="shared" ref="O48:BK48" si="24">SUM(O21:O47)</f>
        <v>107</v>
      </c>
      <c r="P48" s="116">
        <f t="shared" si="24"/>
        <v>161</v>
      </c>
      <c r="Q48" s="116">
        <f t="shared" si="24"/>
        <v>67</v>
      </c>
      <c r="R48" s="116">
        <f t="shared" si="24"/>
        <v>282366.0555555555</v>
      </c>
      <c r="S48" s="116">
        <f t="shared" si="24"/>
        <v>443624.22222222219</v>
      </c>
      <c r="T48" s="116">
        <f t="shared" si="24"/>
        <v>184569.49999999997</v>
      </c>
      <c r="U48" s="116">
        <f t="shared" si="24"/>
        <v>1.2500000000000004</v>
      </c>
      <c r="V48" s="116">
        <f t="shared" si="24"/>
        <v>3.7499999999999987</v>
      </c>
      <c r="W48" s="116">
        <f t="shared" si="24"/>
        <v>227639.94444444441</v>
      </c>
      <c r="X48" s="116">
        <f t="shared" si="24"/>
        <v>2.5000000000000009</v>
      </c>
      <c r="Y48" s="116">
        <f t="shared" si="24"/>
        <v>5.0000000000000018</v>
      </c>
      <c r="Z48" s="116">
        <f t="shared" si="24"/>
        <v>3.125</v>
      </c>
      <c r="AA48" s="116">
        <f t="shared" si="24"/>
        <v>6.25</v>
      </c>
      <c r="AB48" s="116">
        <f t="shared" si="24"/>
        <v>3.7499999999999987</v>
      </c>
      <c r="AC48" s="116">
        <f t="shared" si="24"/>
        <v>7.4999999999999973</v>
      </c>
      <c r="AD48" s="116">
        <f t="shared" si="24"/>
        <v>61</v>
      </c>
      <c r="AE48" s="116">
        <f t="shared" si="24"/>
        <v>18</v>
      </c>
      <c r="AF48" s="116">
        <f t="shared" si="24"/>
        <v>92.5</v>
      </c>
      <c r="AG48" s="116">
        <f t="shared" si="24"/>
        <v>0</v>
      </c>
      <c r="AH48" s="116">
        <f t="shared" si="24"/>
        <v>41</v>
      </c>
      <c r="AI48" s="116">
        <f t="shared" si="24"/>
        <v>0</v>
      </c>
      <c r="AJ48" s="116" t="e">
        <f t="shared" si="24"/>
        <v>#REF!</v>
      </c>
      <c r="AK48" s="116">
        <f t="shared" si="24"/>
        <v>3539</v>
      </c>
      <c r="AL48" s="116">
        <f t="shared" si="24"/>
        <v>9438.4</v>
      </c>
      <c r="AM48" s="116">
        <f t="shared" si="24"/>
        <v>0</v>
      </c>
      <c r="AN48" s="116">
        <f t="shared" si="24"/>
        <v>4325.9333333333334</v>
      </c>
      <c r="AO48" s="116">
        <f t="shared" si="24"/>
        <v>0</v>
      </c>
      <c r="AP48" s="116">
        <f t="shared" si="24"/>
        <v>4</v>
      </c>
      <c r="AQ48" s="116">
        <f t="shared" si="24"/>
        <v>983.16666666666663</v>
      </c>
      <c r="AR48" s="116">
        <f t="shared" si="24"/>
        <v>17</v>
      </c>
      <c r="AS48" s="116">
        <f t="shared" si="24"/>
        <v>4178.458333333333</v>
      </c>
      <c r="AT48" s="116">
        <f t="shared" si="24"/>
        <v>6</v>
      </c>
      <c r="AU48" s="116">
        <f t="shared" si="24"/>
        <v>1474.75</v>
      </c>
      <c r="AV48" s="116">
        <f t="shared" si="24"/>
        <v>6636</v>
      </c>
      <c r="AW48" s="116">
        <f t="shared" si="24"/>
        <v>4424</v>
      </c>
      <c r="AX48" s="116">
        <f t="shared" si="24"/>
        <v>13275</v>
      </c>
      <c r="AY48" s="116">
        <f t="shared" si="24"/>
        <v>0</v>
      </c>
      <c r="AZ48" s="116">
        <f t="shared" si="24"/>
        <v>5310</v>
      </c>
      <c r="BA48" s="116">
        <f t="shared" si="24"/>
        <v>0</v>
      </c>
      <c r="BB48" s="116">
        <f t="shared" si="24"/>
        <v>11503</v>
      </c>
      <c r="BC48" s="116">
        <f>SUM(BC21:BC47)</f>
        <v>38368.079166666663</v>
      </c>
      <c r="BD48" s="116">
        <f>SUM(BD21:BD47)</f>
        <v>87231.462499999994</v>
      </c>
      <c r="BE48" s="116">
        <f t="shared" si="24"/>
        <v>125599.54166666667</v>
      </c>
      <c r="BF48" s="116">
        <f t="shared" si="24"/>
        <v>24773</v>
      </c>
      <c r="BG48" s="116">
        <f t="shared" si="24"/>
        <v>24</v>
      </c>
      <c r="BH48" s="116">
        <f t="shared" si="24"/>
        <v>0</v>
      </c>
      <c r="BI48" s="116">
        <f t="shared" si="24"/>
        <v>14865</v>
      </c>
      <c r="BJ48" s="116" t="e">
        <f t="shared" si="24"/>
        <v>#REF!</v>
      </c>
      <c r="BK48" s="116" t="e">
        <f t="shared" si="24"/>
        <v>#REF!</v>
      </c>
      <c r="BL48" s="486" t="e">
        <f>SUM(BL21:BL47)</f>
        <v>#REF!</v>
      </c>
      <c r="CE48" s="404">
        <f>SUM(CE21:CE47)</f>
        <v>17.610000000000007</v>
      </c>
    </row>
    <row r="49" spans="2:69">
      <c r="B49" s="74" t="s">
        <v>419</v>
      </c>
      <c r="W49" s="273"/>
      <c r="X49" s="247"/>
      <c r="Y49" s="247"/>
      <c r="Z49" s="247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272"/>
      <c r="BI49" s="272"/>
      <c r="BJ49" s="73"/>
      <c r="BK49" s="73"/>
      <c r="BO49" s="74"/>
      <c r="BP49" s="74"/>
      <c r="BQ49" s="74"/>
    </row>
    <row r="50" spans="2:69" ht="12.75">
      <c r="W50" s="275" t="s">
        <v>102</v>
      </c>
      <c r="X50" s="247"/>
      <c r="Y50" s="247"/>
      <c r="Z50" s="247"/>
      <c r="AA50" s="74"/>
      <c r="AB50" s="74"/>
      <c r="AC50" s="74"/>
      <c r="AD50" s="74"/>
      <c r="AE50" s="74"/>
      <c r="AF50" s="74"/>
      <c r="AJ50" s="33" t="s">
        <v>129</v>
      </c>
      <c r="AK50" s="33"/>
      <c r="AL50" s="33"/>
      <c r="AM50" s="33"/>
      <c r="AN50" s="33"/>
      <c r="AO50" s="35"/>
      <c r="AP50" s="35"/>
      <c r="AR50" s="33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3"/>
      <c r="BI50" s="73"/>
      <c r="BJ50" s="73"/>
      <c r="BK50" s="332"/>
      <c r="BO50" s="74"/>
      <c r="BP50" s="74"/>
      <c r="BQ50" s="74"/>
    </row>
    <row r="51" spans="2:69" ht="12.75">
      <c r="W51" s="33" t="s">
        <v>104</v>
      </c>
      <c r="X51" s="73"/>
      <c r="Y51" s="73"/>
      <c r="Z51" s="73"/>
      <c r="AA51" s="74"/>
      <c r="AB51" s="74"/>
      <c r="AC51" s="74"/>
      <c r="AD51" s="74"/>
      <c r="AE51" s="74"/>
      <c r="AF51" s="74"/>
      <c r="AJ51" s="33" t="s">
        <v>448</v>
      </c>
      <c r="AK51" s="33"/>
      <c r="AL51" s="33"/>
      <c r="AM51" s="33"/>
      <c r="AN51" s="33"/>
      <c r="AO51" s="35"/>
      <c r="AP51" s="35"/>
      <c r="AR51" s="33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3"/>
      <c r="BI51" s="73"/>
      <c r="BJ51" s="73"/>
      <c r="BK51" s="73"/>
      <c r="BO51" s="74"/>
      <c r="BP51" s="74"/>
      <c r="BQ51" s="74"/>
    </row>
    <row r="52" spans="2:69" ht="12.75">
      <c r="W52" s="59" t="s">
        <v>407</v>
      </c>
      <c r="X52" s="276"/>
      <c r="Y52" s="247"/>
      <c r="Z52" s="247"/>
      <c r="AA52" s="74"/>
      <c r="AB52" s="74"/>
      <c r="AC52" s="74"/>
      <c r="AD52" s="74"/>
      <c r="AE52" s="74"/>
      <c r="AF52" s="74"/>
      <c r="AG52" s="74"/>
      <c r="AH52" s="74"/>
      <c r="AI52" s="74"/>
      <c r="AJ52" s="59" t="s">
        <v>236</v>
      </c>
      <c r="AK52" s="74"/>
      <c r="AL52" s="74"/>
      <c r="AM52" s="74"/>
      <c r="AN52" s="74"/>
      <c r="AP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3"/>
      <c r="BI52" s="73"/>
      <c r="BJ52" s="73"/>
      <c r="BK52" s="73"/>
      <c r="BO52" s="74"/>
      <c r="BP52" s="74"/>
      <c r="BQ52" s="74"/>
    </row>
    <row r="53" spans="2:69">
      <c r="W53" s="73"/>
      <c r="X53" s="73"/>
      <c r="Y53" s="73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3"/>
      <c r="BI53" s="73"/>
      <c r="BJ53" s="73"/>
      <c r="BK53" s="73"/>
      <c r="BO53" s="74"/>
      <c r="BP53" s="74"/>
      <c r="BQ53" s="74"/>
    </row>
    <row r="54" spans="2:69">
      <c r="W54" s="74"/>
      <c r="X54" s="74"/>
      <c r="Y54" s="73"/>
      <c r="Z54" s="73"/>
      <c r="AA54" s="73"/>
      <c r="AB54" s="73"/>
      <c r="AC54" s="73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</row>
    <row r="55" spans="2:69">
      <c r="W55" s="74"/>
      <c r="X55" s="74"/>
      <c r="Y55" s="73"/>
      <c r="Z55" s="73"/>
      <c r="AA55" s="73"/>
      <c r="AB55" s="73"/>
      <c r="AC55" s="73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</row>
    <row r="56" spans="2:69">
      <c r="W56" s="74"/>
      <c r="X56" s="74"/>
      <c r="Y56" s="73"/>
      <c r="Z56" s="73"/>
      <c r="AA56" s="73"/>
      <c r="AB56" s="73"/>
      <c r="AC56" s="73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</row>
    <row r="57" spans="2:69">
      <c r="W57" s="74"/>
      <c r="X57" s="74"/>
      <c r="Y57" s="73"/>
      <c r="Z57" s="73"/>
      <c r="AA57" s="73"/>
      <c r="AB57" s="73"/>
      <c r="AC57" s="73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</row>
    <row r="58" spans="2:69">
      <c r="W58" s="74"/>
      <c r="X58" s="74"/>
      <c r="Y58" s="73"/>
      <c r="Z58" s="73"/>
      <c r="AA58" s="73"/>
      <c r="AB58" s="73"/>
      <c r="AC58" s="73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</row>
    <row r="59" spans="2:69">
      <c r="W59" s="74"/>
      <c r="X59" s="74"/>
      <c r="Y59" s="73"/>
      <c r="Z59" s="73"/>
      <c r="AA59" s="73"/>
      <c r="AB59" s="73"/>
      <c r="AC59" s="73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</row>
    <row r="60" spans="2:69">
      <c r="W60" s="74"/>
      <c r="X60" s="74"/>
      <c r="Y60" s="73"/>
      <c r="Z60" s="73"/>
      <c r="AA60" s="73"/>
      <c r="AB60" s="73"/>
      <c r="AC60" s="73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</row>
    <row r="61" spans="2:69">
      <c r="W61" s="74"/>
      <c r="X61" s="74"/>
      <c r="Y61" s="73"/>
      <c r="Z61" s="73"/>
      <c r="AA61" s="73"/>
      <c r="AB61" s="73"/>
      <c r="AC61" s="73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</row>
    <row r="62" spans="2:69"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</row>
  </sheetData>
  <mergeCells count="44">
    <mergeCell ref="AN15:AO15"/>
    <mergeCell ref="AP15:AQ15"/>
    <mergeCell ref="BM27:BQ27"/>
    <mergeCell ref="BM28:BQ28"/>
    <mergeCell ref="BM24:BQ24"/>
    <mergeCell ref="BM25:BQ25"/>
    <mergeCell ref="BM26:BQ26"/>
    <mergeCell ref="BI14:BI16"/>
    <mergeCell ref="BJ14:BJ16"/>
    <mergeCell ref="BH14:BH15"/>
    <mergeCell ref="BG14:BG17"/>
    <mergeCell ref="BB14:BB16"/>
    <mergeCell ref="AX15:AY15"/>
    <mergeCell ref="AZ15:BA15"/>
    <mergeCell ref="AV15:AW15"/>
    <mergeCell ref="D14:D15"/>
    <mergeCell ref="F14:F15"/>
    <mergeCell ref="I14:I15"/>
    <mergeCell ref="J14:J15"/>
    <mergeCell ref="AW9:BA9"/>
    <mergeCell ref="W14:W16"/>
    <mergeCell ref="AD14:AI14"/>
    <mergeCell ref="AR15:AS15"/>
    <mergeCell ref="AP14:AU14"/>
    <mergeCell ref="AV14:BA14"/>
    <mergeCell ref="AT15:AU15"/>
    <mergeCell ref="AD15:AE15"/>
    <mergeCell ref="AF15:AG15"/>
    <mergeCell ref="AH15:AI15"/>
    <mergeCell ref="AJ15:AK15"/>
    <mergeCell ref="AL15:AM15"/>
    <mergeCell ref="AY12:BF12"/>
    <mergeCell ref="AW6:BA6"/>
    <mergeCell ref="BE14:BE16"/>
    <mergeCell ref="BF14:BF15"/>
    <mergeCell ref="AY13:BF13"/>
    <mergeCell ref="AW7:BA7"/>
    <mergeCell ref="AW8:BA8"/>
    <mergeCell ref="E3:AK3"/>
    <mergeCell ref="AW3:BA3"/>
    <mergeCell ref="AW4:BA4"/>
    <mergeCell ref="AW5:BA5"/>
    <mergeCell ref="AY11:BF11"/>
    <mergeCell ref="AY10:BF10"/>
  </mergeCells>
  <phoneticPr fontId="29" type="noConversion"/>
  <pageMargins left="0.2" right="0.16" top="0.31" bottom="0.2" header="0.2" footer="0.2"/>
  <pageSetup paperSize="9" scale="88" orientation="landscape" r:id="rId1"/>
  <headerFooter alignWithMargins="0"/>
  <colBreaks count="1" manualBreakCount="1">
    <brk id="33" max="5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J39"/>
  <sheetViews>
    <sheetView view="pageBreakPreview" topLeftCell="A9" zoomScale="120" zoomScaleNormal="90" zoomScaleSheetLayoutView="120" workbookViewId="0">
      <selection activeCell="C9" sqref="C1:C1048576"/>
    </sheetView>
  </sheetViews>
  <sheetFormatPr defaultRowHeight="12.75"/>
  <cols>
    <col min="1" max="1" width="2.85546875" style="110" customWidth="1"/>
    <col min="2" max="2" width="2.5703125" style="110" customWidth="1"/>
    <col min="3" max="3" width="9.7109375" style="110" customWidth="1"/>
    <col min="4" max="4" width="7.5703125" style="110" customWidth="1"/>
    <col min="5" max="5" width="10.7109375" style="110" hidden="1" customWidth="1"/>
    <col min="6" max="6" width="6.7109375" style="110" hidden="1" customWidth="1"/>
    <col min="7" max="7" width="6.7109375" style="110" customWidth="1"/>
    <col min="8" max="8" width="5.7109375" style="110" customWidth="1"/>
    <col min="9" max="9" width="5.5703125" style="110" customWidth="1"/>
    <col min="10" max="10" width="5.85546875" style="110" customWidth="1"/>
    <col min="11" max="11" width="5.85546875" style="834" customWidth="1"/>
    <col min="12" max="12" width="8" style="110" customWidth="1"/>
    <col min="13" max="13" width="3.28515625" style="110" hidden="1" customWidth="1"/>
    <col min="14" max="14" width="2.85546875" style="110" hidden="1" customWidth="1"/>
    <col min="15" max="15" width="4.42578125" style="110" hidden="1" customWidth="1"/>
    <col min="16" max="17" width="5" style="28" customWidth="1"/>
    <col min="18" max="18" width="6" style="30" customWidth="1"/>
    <col min="19" max="19" width="6.7109375" style="28" customWidth="1"/>
    <col min="20" max="20" width="6.140625" style="28" customWidth="1"/>
    <col min="21" max="21" width="6.85546875" style="28" customWidth="1"/>
    <col min="22" max="22" width="7.42578125" style="28" hidden="1" customWidth="1"/>
    <col min="23" max="23" width="7.42578125" style="30" customWidth="1"/>
    <col min="24" max="24" width="3.42578125" style="25" customWidth="1"/>
    <col min="25" max="25" width="4.85546875" style="25" customWidth="1"/>
    <col min="26" max="30" width="9.140625" style="25"/>
    <col min="31" max="16384" width="9.140625" style="110"/>
  </cols>
  <sheetData>
    <row r="2" spans="2:36">
      <c r="B2" s="11"/>
      <c r="C2" s="11"/>
      <c r="D2" s="11"/>
      <c r="E2" s="11"/>
      <c r="F2" s="8"/>
      <c r="G2" s="8"/>
      <c r="H2" s="11"/>
      <c r="I2" s="11"/>
      <c r="J2" s="11"/>
      <c r="K2" s="37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36">
      <c r="B3" s="11"/>
      <c r="C3" s="11"/>
      <c r="D3" s="11"/>
      <c r="E3" s="11"/>
      <c r="F3" s="8"/>
      <c r="G3" s="8"/>
      <c r="H3" s="11"/>
      <c r="I3" s="11"/>
      <c r="J3" s="11"/>
      <c r="K3" s="37"/>
      <c r="L3" s="11"/>
      <c r="M3" s="11"/>
      <c r="N3" s="11"/>
      <c r="O3" s="11"/>
      <c r="P3" s="11"/>
      <c r="Q3" s="11"/>
      <c r="R3" s="8"/>
      <c r="S3" s="11"/>
      <c r="T3" s="11"/>
      <c r="U3" s="11"/>
      <c r="V3" s="11"/>
      <c r="W3" s="8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2:36">
      <c r="B4" s="11"/>
      <c r="C4" s="11"/>
      <c r="D4" s="11"/>
      <c r="E4" s="11"/>
      <c r="F4" s="8"/>
      <c r="G4" s="8"/>
      <c r="H4" s="11"/>
      <c r="I4" s="11"/>
      <c r="J4" s="11"/>
      <c r="K4" s="37"/>
      <c r="L4" s="11"/>
      <c r="M4" s="11"/>
      <c r="N4" s="11"/>
      <c r="O4" s="11"/>
      <c r="P4" s="11"/>
      <c r="Q4" s="11"/>
      <c r="R4" s="8"/>
      <c r="S4" s="11"/>
      <c r="T4" s="11"/>
      <c r="U4" s="11"/>
      <c r="V4" s="11"/>
      <c r="W4" s="8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2:36" ht="16.5" customHeight="1">
      <c r="B5" s="11"/>
      <c r="C5" s="11"/>
      <c r="D5" s="11"/>
      <c r="E5" s="11"/>
      <c r="F5" s="10" t="s">
        <v>261</v>
      </c>
      <c r="G5" s="10" t="s">
        <v>601</v>
      </c>
      <c r="H5" s="10"/>
      <c r="I5" s="7"/>
      <c r="J5" s="10"/>
      <c r="K5" s="59"/>
      <c r="L5" s="10"/>
      <c r="M5" s="10"/>
      <c r="N5" s="10"/>
      <c r="O5" s="10"/>
      <c r="P5" s="10"/>
      <c r="Q5" s="10"/>
      <c r="R5" s="7"/>
      <c r="S5" s="10"/>
      <c r="T5" s="10"/>
      <c r="U5" s="10"/>
      <c r="V5" s="10"/>
      <c r="W5" s="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36">
      <c r="B6" s="11"/>
      <c r="C6" s="11"/>
      <c r="D6" s="11"/>
      <c r="E6" s="11"/>
      <c r="F6" s="8"/>
      <c r="G6" s="8"/>
      <c r="H6" s="10"/>
      <c r="I6" s="7"/>
      <c r="J6" s="10"/>
      <c r="K6" s="59"/>
      <c r="L6" s="10"/>
      <c r="M6" s="10"/>
      <c r="N6" s="10"/>
      <c r="O6" s="10"/>
      <c r="P6" s="10"/>
      <c r="Q6" s="10"/>
      <c r="R6" s="7"/>
      <c r="S6" s="10"/>
      <c r="T6" s="10"/>
      <c r="U6" s="10"/>
      <c r="V6" s="10"/>
      <c r="W6" s="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2:36">
      <c r="B7" s="11"/>
      <c r="C7" s="11"/>
      <c r="D7" s="11"/>
      <c r="E7" s="10"/>
      <c r="F7" s="7"/>
      <c r="G7" s="7"/>
      <c r="H7" s="10"/>
      <c r="I7" s="1221" t="s">
        <v>107</v>
      </c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2:36">
      <c r="B8" s="11"/>
      <c r="C8" s="11"/>
      <c r="D8" s="11"/>
      <c r="E8" s="10"/>
      <c r="F8" s="860"/>
      <c r="G8" s="860"/>
      <c r="H8" s="820"/>
      <c r="I8" s="820"/>
      <c r="J8" s="820"/>
      <c r="K8" s="835"/>
      <c r="L8" s="820"/>
      <c r="M8" s="820"/>
      <c r="N8" s="820"/>
      <c r="O8" s="820"/>
      <c r="P8" s="820"/>
      <c r="Q8" s="820"/>
      <c r="R8" s="860"/>
      <c r="S8" s="820"/>
      <c r="T8" s="820"/>
      <c r="U8" s="820"/>
      <c r="V8" s="820"/>
      <c r="W8" s="86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2:36">
      <c r="B9" s="11"/>
      <c r="C9" s="11"/>
      <c r="D9" s="11"/>
      <c r="E9" s="10"/>
      <c r="F9" s="1222" t="s">
        <v>616</v>
      </c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1222"/>
      <c r="U9" s="860"/>
      <c r="V9" s="860"/>
      <c r="W9" s="86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2:36">
      <c r="B10" s="11"/>
      <c r="C10" s="11"/>
      <c r="D10" s="11"/>
      <c r="E10" s="11"/>
      <c r="F10" s="821"/>
      <c r="G10" s="821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223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2:36" ht="15.75" customHeight="1">
      <c r="B11" s="11"/>
      <c r="C11" s="11"/>
      <c r="D11" s="11"/>
      <c r="E11" s="11"/>
      <c r="F11" s="822"/>
      <c r="G11" s="822" t="s">
        <v>108</v>
      </c>
      <c r="H11" s="822"/>
      <c r="I11" s="822"/>
      <c r="J11" s="822"/>
      <c r="K11" s="836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2:36">
      <c r="B12" s="11"/>
      <c r="C12" s="11"/>
      <c r="D12" s="11"/>
      <c r="E12" s="11"/>
      <c r="F12" s="860"/>
      <c r="G12" s="860"/>
      <c r="H12" s="820"/>
      <c r="I12" s="820"/>
      <c r="J12" s="820"/>
      <c r="K12" s="835"/>
      <c r="L12" s="820"/>
      <c r="M12" s="820"/>
      <c r="N12" s="820"/>
      <c r="O12" s="820"/>
      <c r="P12" s="820"/>
      <c r="Q12" s="820"/>
      <c r="R12" s="860"/>
      <c r="S12" s="820"/>
      <c r="T12" s="820"/>
      <c r="U12" s="820"/>
      <c r="V12" s="820"/>
      <c r="W12" s="86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2:36">
      <c r="B13" s="11"/>
      <c r="C13" s="11"/>
      <c r="D13" s="11"/>
      <c r="E13" s="11"/>
      <c r="F13" s="8"/>
      <c r="G13" s="8"/>
      <c r="H13" s="5"/>
      <c r="I13" s="11"/>
      <c r="J13" s="11"/>
      <c r="K13" s="37"/>
      <c r="L13" s="11"/>
      <c r="M13" s="11"/>
      <c r="N13" s="11"/>
      <c r="O13" s="11"/>
      <c r="P13" s="11"/>
      <c r="Q13" s="11"/>
      <c r="R13" s="8"/>
      <c r="S13" s="11"/>
      <c r="T13" s="11"/>
      <c r="U13" s="11"/>
      <c r="V13" s="11"/>
      <c r="W13" s="8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2:36" s="317" customFormat="1" ht="11.25" customHeight="1">
      <c r="B14" s="476" t="s">
        <v>265</v>
      </c>
      <c r="C14" s="1271" t="s">
        <v>109</v>
      </c>
      <c r="D14" s="1271" t="s">
        <v>415</v>
      </c>
      <c r="E14" s="727" t="s">
        <v>110</v>
      </c>
      <c r="F14" s="728" t="s">
        <v>111</v>
      </c>
      <c r="G14" s="728"/>
      <c r="H14" s="728" t="s">
        <v>269</v>
      </c>
      <c r="I14" s="727" t="s">
        <v>270</v>
      </c>
      <c r="J14" s="727"/>
      <c r="K14" s="1163" t="s">
        <v>613</v>
      </c>
      <c r="L14" s="727" t="s">
        <v>271</v>
      </c>
      <c r="M14" s="729" t="s">
        <v>272</v>
      </c>
      <c r="N14" s="729" t="s">
        <v>272</v>
      </c>
      <c r="O14" s="1274" t="s">
        <v>341</v>
      </c>
      <c r="P14" s="1275" t="s">
        <v>112</v>
      </c>
      <c r="Q14" s="1275" t="s">
        <v>675</v>
      </c>
      <c r="R14" s="1275" t="s">
        <v>113</v>
      </c>
      <c r="S14" s="1276" t="s">
        <v>114</v>
      </c>
      <c r="T14" s="1276" t="s">
        <v>115</v>
      </c>
      <c r="U14" s="1278" t="s">
        <v>577</v>
      </c>
      <c r="V14" s="1271" t="s">
        <v>274</v>
      </c>
      <c r="W14" s="1275" t="s">
        <v>597</v>
      </c>
      <c r="X14" s="318"/>
      <c r="Y14" s="318"/>
      <c r="Z14" s="318"/>
      <c r="AA14" s="318"/>
      <c r="AB14" s="318"/>
      <c r="AC14" s="318"/>
      <c r="AD14" s="318"/>
    </row>
    <row r="15" spans="2:36" s="317" customFormat="1" ht="11.25" customHeight="1">
      <c r="B15" s="477" t="s">
        <v>276</v>
      </c>
      <c r="C15" s="1272"/>
      <c r="D15" s="1272"/>
      <c r="E15" s="730" t="s">
        <v>116</v>
      </c>
      <c r="F15" s="731" t="s">
        <v>586</v>
      </c>
      <c r="G15" s="731"/>
      <c r="H15" s="731" t="s">
        <v>278</v>
      </c>
      <c r="I15" s="730" t="s">
        <v>279</v>
      </c>
      <c r="J15" s="730" t="s">
        <v>398</v>
      </c>
      <c r="K15" s="1164"/>
      <c r="L15" s="730" t="s">
        <v>280</v>
      </c>
      <c r="M15" s="732" t="s">
        <v>281</v>
      </c>
      <c r="N15" s="732" t="s">
        <v>281</v>
      </c>
      <c r="O15" s="1274"/>
      <c r="P15" s="1272"/>
      <c r="Q15" s="1272"/>
      <c r="R15" s="1272"/>
      <c r="S15" s="1277"/>
      <c r="T15" s="1277"/>
      <c r="U15" s="1279"/>
      <c r="V15" s="1281"/>
      <c r="W15" s="1272"/>
      <c r="X15" s="318"/>
      <c r="Y15" s="318"/>
      <c r="Z15" s="318"/>
      <c r="AA15" s="318"/>
      <c r="AB15" s="318"/>
      <c r="AC15" s="318"/>
      <c r="AD15" s="318"/>
    </row>
    <row r="16" spans="2:36" s="317" customFormat="1" ht="27" customHeight="1">
      <c r="B16" s="478"/>
      <c r="C16" s="1273"/>
      <c r="D16" s="1273"/>
      <c r="E16" s="733"/>
      <c r="F16" s="734" t="s">
        <v>399</v>
      </c>
      <c r="G16" s="734" t="s">
        <v>598</v>
      </c>
      <c r="H16" s="734" t="s">
        <v>283</v>
      </c>
      <c r="I16" s="733"/>
      <c r="J16" s="733"/>
      <c r="K16" s="1165"/>
      <c r="L16" s="733" t="s">
        <v>284</v>
      </c>
      <c r="M16" s="735">
        <v>18</v>
      </c>
      <c r="N16" s="735">
        <v>20</v>
      </c>
      <c r="O16" s="1274"/>
      <c r="P16" s="1272"/>
      <c r="Q16" s="1273"/>
      <c r="R16" s="1272"/>
      <c r="S16" s="1277"/>
      <c r="T16" s="1277"/>
      <c r="U16" s="1280"/>
      <c r="V16" s="1281"/>
      <c r="W16" s="1272"/>
      <c r="X16" s="318"/>
      <c r="Y16" s="318"/>
      <c r="Z16" s="318"/>
      <c r="AA16" s="318"/>
      <c r="AB16" s="318"/>
      <c r="AC16" s="318"/>
      <c r="AD16" s="318"/>
    </row>
    <row r="17" spans="2:33" s="25" customFormat="1" ht="12" customHeight="1">
      <c r="B17" s="104">
        <v>1</v>
      </c>
      <c r="C17" s="104" t="s">
        <v>579</v>
      </c>
      <c r="D17" s="104" t="s">
        <v>403</v>
      </c>
      <c r="E17" s="104"/>
      <c r="F17" s="104" t="s">
        <v>119</v>
      </c>
      <c r="G17" s="104" t="s">
        <v>587</v>
      </c>
      <c r="H17" s="703" t="s">
        <v>633</v>
      </c>
      <c r="I17" s="704" t="s">
        <v>374</v>
      </c>
      <c r="J17" s="104">
        <v>17697</v>
      </c>
      <c r="K17" s="715">
        <v>3.86</v>
      </c>
      <c r="L17" s="705">
        <f t="shared" ref="L17:L25" si="0">J17*K17</f>
        <v>68310.42</v>
      </c>
      <c r="M17" s="706">
        <v>18</v>
      </c>
      <c r="N17" s="707">
        <v>20</v>
      </c>
      <c r="O17" s="708"/>
      <c r="P17" s="104"/>
      <c r="Q17" s="104"/>
      <c r="R17" s="103">
        <v>1</v>
      </c>
      <c r="S17" s="705">
        <f>L17*R17</f>
        <v>68310.42</v>
      </c>
      <c r="T17" s="709">
        <f t="shared" ref="T17:T22" si="1">S17*25%</f>
        <v>17077.605</v>
      </c>
      <c r="U17" s="709">
        <f>(S17+T17)*10%</f>
        <v>8538.8024999999998</v>
      </c>
      <c r="V17" s="709"/>
      <c r="W17" s="710">
        <f>T17+S17+P17+U17+Q17</f>
        <v>93926.827499999999</v>
      </c>
    </row>
    <row r="18" spans="2:33" s="25" customFormat="1" ht="12" customHeight="1">
      <c r="B18" s="104">
        <v>2</v>
      </c>
      <c r="C18" s="104" t="s">
        <v>602</v>
      </c>
      <c r="D18" s="104" t="s">
        <v>403</v>
      </c>
      <c r="E18" s="104"/>
      <c r="F18" s="104"/>
      <c r="G18" s="104" t="s">
        <v>582</v>
      </c>
      <c r="H18" s="703" t="s">
        <v>661</v>
      </c>
      <c r="I18" s="704" t="s">
        <v>355</v>
      </c>
      <c r="J18" s="104">
        <v>17697</v>
      </c>
      <c r="K18" s="715">
        <v>3.32</v>
      </c>
      <c r="L18" s="705">
        <f t="shared" si="0"/>
        <v>58754.039999999994</v>
      </c>
      <c r="M18" s="706">
        <v>18</v>
      </c>
      <c r="N18" s="707">
        <v>20</v>
      </c>
      <c r="O18" s="707"/>
      <c r="P18" s="104"/>
      <c r="Q18" s="104"/>
      <c r="R18" s="103">
        <v>0.5</v>
      </c>
      <c r="S18" s="705">
        <f>L18*R18</f>
        <v>29377.019999999997</v>
      </c>
      <c r="T18" s="709">
        <f t="shared" si="1"/>
        <v>7344.2549999999992</v>
      </c>
      <c r="U18" s="709">
        <f t="shared" ref="U18:U25" si="2">(S18+T18)*10%</f>
        <v>3672.1274999999996</v>
      </c>
      <c r="V18" s="709"/>
      <c r="W18" s="710">
        <f t="shared" ref="W18:W25" si="3">T18+S18+P18+U18+Q18</f>
        <v>40393.402499999997</v>
      </c>
    </row>
    <row r="19" spans="2:33" s="25" customFormat="1" ht="12" customHeight="1">
      <c r="B19" s="104">
        <v>3</v>
      </c>
      <c r="C19" s="104" t="s">
        <v>426</v>
      </c>
      <c r="D19" s="790" t="s">
        <v>403</v>
      </c>
      <c r="E19" s="104" t="s">
        <v>124</v>
      </c>
      <c r="F19" s="104" t="s">
        <v>119</v>
      </c>
      <c r="G19" s="715" t="s">
        <v>582</v>
      </c>
      <c r="H19" s="703" t="s">
        <v>660</v>
      </c>
      <c r="I19" s="704" t="s">
        <v>355</v>
      </c>
      <c r="J19" s="104">
        <v>17697</v>
      </c>
      <c r="K19" s="715">
        <v>3.08</v>
      </c>
      <c r="L19" s="705">
        <v>72558</v>
      </c>
      <c r="M19" s="706">
        <v>18</v>
      </c>
      <c r="N19" s="707">
        <v>20</v>
      </c>
      <c r="O19" s="707"/>
      <c r="P19" s="104"/>
      <c r="Q19" s="104"/>
      <c r="R19" s="103">
        <v>1</v>
      </c>
      <c r="S19" s="705">
        <f t="shared" ref="S19:S25" si="4">L19*R19</f>
        <v>72558</v>
      </c>
      <c r="T19" s="709">
        <f t="shared" si="1"/>
        <v>18139.5</v>
      </c>
      <c r="U19" s="709">
        <f t="shared" si="2"/>
        <v>9069.75</v>
      </c>
      <c r="V19" s="709"/>
      <c r="W19" s="710">
        <f t="shared" si="3"/>
        <v>99767.25</v>
      </c>
    </row>
    <row r="20" spans="2:33" s="25" customFormat="1" ht="12" customHeight="1">
      <c r="B20" s="104">
        <v>4</v>
      </c>
      <c r="C20" s="104" t="s">
        <v>578</v>
      </c>
      <c r="D20" s="104" t="s">
        <v>403</v>
      </c>
      <c r="E20" s="104" t="s">
        <v>125</v>
      </c>
      <c r="F20" s="104" t="s">
        <v>424</v>
      </c>
      <c r="G20" s="104" t="s">
        <v>589</v>
      </c>
      <c r="H20" s="703" t="s">
        <v>662</v>
      </c>
      <c r="I20" s="704" t="s">
        <v>355</v>
      </c>
      <c r="J20" s="104">
        <v>17697</v>
      </c>
      <c r="K20" s="715">
        <v>3.61</v>
      </c>
      <c r="L20" s="705">
        <f t="shared" si="0"/>
        <v>63886.17</v>
      </c>
      <c r="M20" s="711">
        <v>18</v>
      </c>
      <c r="N20" s="230">
        <v>20</v>
      </c>
      <c r="O20" s="712"/>
      <c r="P20" s="713">
        <v>2655</v>
      </c>
      <c r="Q20" s="713"/>
      <c r="R20" s="103">
        <v>0.5</v>
      </c>
      <c r="S20" s="705">
        <f t="shared" si="4"/>
        <v>31943.084999999999</v>
      </c>
      <c r="T20" s="709">
        <f t="shared" si="1"/>
        <v>7985.7712499999998</v>
      </c>
      <c r="U20" s="709">
        <f t="shared" si="2"/>
        <v>3992.8856249999999</v>
      </c>
      <c r="V20" s="709"/>
      <c r="W20" s="710">
        <f t="shared" si="3"/>
        <v>46576.741875</v>
      </c>
    </row>
    <row r="21" spans="2:33" s="25" customFormat="1" ht="12" customHeight="1">
      <c r="B21" s="104">
        <v>5</v>
      </c>
      <c r="C21" s="104" t="s">
        <v>5</v>
      </c>
      <c r="D21" s="104" t="s">
        <v>403</v>
      </c>
      <c r="E21" s="104"/>
      <c r="F21" s="104" t="s">
        <v>424</v>
      </c>
      <c r="G21" s="104" t="s">
        <v>587</v>
      </c>
      <c r="H21" s="703" t="s">
        <v>663</v>
      </c>
      <c r="I21" s="704" t="s">
        <v>374</v>
      </c>
      <c r="J21" s="104">
        <v>17697</v>
      </c>
      <c r="K21" s="715">
        <v>3.92</v>
      </c>
      <c r="L21" s="705">
        <f t="shared" si="0"/>
        <v>69372.240000000005</v>
      </c>
      <c r="M21" s="711">
        <v>18</v>
      </c>
      <c r="N21" s="230">
        <v>20</v>
      </c>
      <c r="O21" s="714"/>
      <c r="P21" s="104"/>
      <c r="Q21" s="104">
        <v>7079</v>
      </c>
      <c r="R21" s="103">
        <v>1</v>
      </c>
      <c r="S21" s="705">
        <f t="shared" si="4"/>
        <v>69372.240000000005</v>
      </c>
      <c r="T21" s="709">
        <f t="shared" si="1"/>
        <v>17343.060000000001</v>
      </c>
      <c r="U21" s="709">
        <f t="shared" si="2"/>
        <v>8671.5300000000007</v>
      </c>
      <c r="V21" s="709"/>
      <c r="W21" s="710">
        <f t="shared" si="3"/>
        <v>102465.83</v>
      </c>
    </row>
    <row r="22" spans="2:33" s="25" customFormat="1" ht="12" customHeight="1">
      <c r="B22" s="104">
        <v>6</v>
      </c>
      <c r="C22" s="104" t="s">
        <v>290</v>
      </c>
      <c r="D22" s="790" t="s">
        <v>366</v>
      </c>
      <c r="E22" s="104" t="s">
        <v>127</v>
      </c>
      <c r="F22" s="104" t="s">
        <v>424</v>
      </c>
      <c r="G22" s="104" t="s">
        <v>584</v>
      </c>
      <c r="H22" s="39" t="s">
        <v>634</v>
      </c>
      <c r="I22" s="704" t="s">
        <v>355</v>
      </c>
      <c r="J22" s="104">
        <v>17697</v>
      </c>
      <c r="K22" s="715">
        <v>2.58</v>
      </c>
      <c r="L22" s="705">
        <f t="shared" si="0"/>
        <v>45658.26</v>
      </c>
      <c r="M22" s="711">
        <v>18</v>
      </c>
      <c r="N22" s="230">
        <v>20</v>
      </c>
      <c r="O22" s="230"/>
      <c r="P22" s="104"/>
      <c r="Q22" s="104"/>
      <c r="R22" s="103">
        <v>0.5</v>
      </c>
      <c r="S22" s="705">
        <f t="shared" si="4"/>
        <v>22829.13</v>
      </c>
      <c r="T22" s="709">
        <f t="shared" si="1"/>
        <v>5707.2825000000003</v>
      </c>
      <c r="U22" s="709">
        <f t="shared" si="2"/>
        <v>2853.6412500000006</v>
      </c>
      <c r="V22" s="709"/>
      <c r="W22" s="710">
        <f t="shared" si="3"/>
        <v>31390.053750000003</v>
      </c>
    </row>
    <row r="23" spans="2:33" s="25" customFormat="1" ht="12" customHeight="1">
      <c r="B23" s="104">
        <v>7</v>
      </c>
      <c r="C23" s="104" t="s">
        <v>298</v>
      </c>
      <c r="D23" s="104" t="s">
        <v>403</v>
      </c>
      <c r="E23" s="104"/>
      <c r="F23" s="104"/>
      <c r="G23" s="104" t="s">
        <v>588</v>
      </c>
      <c r="H23" s="39" t="s">
        <v>622</v>
      </c>
      <c r="I23" s="704" t="s">
        <v>355</v>
      </c>
      <c r="J23" s="104">
        <v>17697</v>
      </c>
      <c r="K23" s="715">
        <v>3.22</v>
      </c>
      <c r="L23" s="705">
        <f t="shared" si="0"/>
        <v>56984.340000000004</v>
      </c>
      <c r="M23" s="711"/>
      <c r="N23" s="230"/>
      <c r="O23" s="230"/>
      <c r="P23" s="104"/>
      <c r="Q23" s="104"/>
      <c r="R23" s="103">
        <v>0.25</v>
      </c>
      <c r="S23" s="705">
        <f>L23*R23</f>
        <v>14246.085000000001</v>
      </c>
      <c r="T23" s="709"/>
      <c r="U23" s="709">
        <f t="shared" si="2"/>
        <v>1424.6085000000003</v>
      </c>
      <c r="V23" s="709"/>
      <c r="W23" s="710">
        <f t="shared" si="3"/>
        <v>15670.693500000001</v>
      </c>
    </row>
    <row r="24" spans="2:33" s="19" customFormat="1" ht="12" customHeight="1">
      <c r="B24" s="715">
        <v>8</v>
      </c>
      <c r="C24" s="715" t="s">
        <v>298</v>
      </c>
      <c r="D24" s="715" t="s">
        <v>403</v>
      </c>
      <c r="E24" s="715"/>
      <c r="F24" s="715"/>
      <c r="G24" s="715" t="s">
        <v>588</v>
      </c>
      <c r="H24" s="859" t="s">
        <v>664</v>
      </c>
      <c r="I24" s="71" t="s">
        <v>355</v>
      </c>
      <c r="J24" s="715">
        <v>17697</v>
      </c>
      <c r="K24" s="715">
        <v>3.16</v>
      </c>
      <c r="L24" s="705">
        <f t="shared" si="0"/>
        <v>55922.520000000004</v>
      </c>
      <c r="M24" s="716"/>
      <c r="N24" s="717"/>
      <c r="O24" s="717"/>
      <c r="P24" s="715"/>
      <c r="Q24" s="715"/>
      <c r="R24" s="39">
        <v>0.25</v>
      </c>
      <c r="S24" s="705">
        <f t="shared" si="4"/>
        <v>13980.630000000001</v>
      </c>
      <c r="T24" s="705"/>
      <c r="U24" s="705">
        <f t="shared" si="2"/>
        <v>1398.0630000000001</v>
      </c>
      <c r="V24" s="705"/>
      <c r="W24" s="710">
        <f t="shared" si="3"/>
        <v>15378.693000000001</v>
      </c>
    </row>
    <row r="25" spans="2:33" s="19" customFormat="1" ht="12" customHeight="1">
      <c r="B25" s="715">
        <v>9</v>
      </c>
      <c r="C25" s="715" t="s">
        <v>298</v>
      </c>
      <c r="D25" s="790" t="s">
        <v>366</v>
      </c>
      <c r="E25" s="715"/>
      <c r="F25" s="715" t="s">
        <v>425</v>
      </c>
      <c r="G25" s="715" t="s">
        <v>584</v>
      </c>
      <c r="H25" s="39" t="s">
        <v>665</v>
      </c>
      <c r="I25" s="71" t="s">
        <v>355</v>
      </c>
      <c r="J25" s="715">
        <v>17697</v>
      </c>
      <c r="K25" s="715">
        <v>2.58</v>
      </c>
      <c r="L25" s="705">
        <f t="shared" si="0"/>
        <v>45658.26</v>
      </c>
      <c r="M25" s="716">
        <v>18</v>
      </c>
      <c r="N25" s="717">
        <v>20</v>
      </c>
      <c r="O25" s="717"/>
      <c r="P25" s="715"/>
      <c r="Q25" s="715"/>
      <c r="R25" s="39">
        <v>0.5</v>
      </c>
      <c r="S25" s="705">
        <f t="shared" si="4"/>
        <v>22829.13</v>
      </c>
      <c r="T25" s="705"/>
      <c r="U25" s="705">
        <f t="shared" si="2"/>
        <v>2282.913</v>
      </c>
      <c r="V25" s="705"/>
      <c r="W25" s="710">
        <f t="shared" si="3"/>
        <v>25112.043000000001</v>
      </c>
      <c r="X25" s="718"/>
      <c r="Y25" s="718"/>
    </row>
    <row r="26" spans="2:33" s="485" customFormat="1" ht="12" customHeight="1">
      <c r="B26" s="720" t="s">
        <v>302</v>
      </c>
      <c r="C26" s="720" t="s">
        <v>302</v>
      </c>
      <c r="D26" s="720" t="s">
        <v>302</v>
      </c>
      <c r="E26" s="720"/>
      <c r="F26" s="720"/>
      <c r="G26" s="720" t="s">
        <v>302</v>
      </c>
      <c r="H26" s="721"/>
      <c r="I26" s="721" t="s">
        <v>302</v>
      </c>
      <c r="J26" s="720" t="s">
        <v>302</v>
      </c>
      <c r="K26" s="720"/>
      <c r="L26" s="483">
        <f>SUM(L17:L25)</f>
        <v>537104.25</v>
      </c>
      <c r="M26" s="482">
        <v>18</v>
      </c>
      <c r="N26" s="482">
        <v>20</v>
      </c>
      <c r="O26" s="482"/>
      <c r="P26" s="702">
        <f>SUM(P17:P25)</f>
        <v>2655</v>
      </c>
      <c r="Q26" s="702">
        <f t="shared" ref="Q26:W26" si="5">SUM(Q17:Q25)</f>
        <v>7079</v>
      </c>
      <c r="R26" s="536">
        <f t="shared" si="5"/>
        <v>5.5</v>
      </c>
      <c r="S26" s="702">
        <f t="shared" si="5"/>
        <v>345445.74000000005</v>
      </c>
      <c r="T26" s="702">
        <f t="shared" si="5"/>
        <v>73597.473750000005</v>
      </c>
      <c r="U26" s="702">
        <f t="shared" si="5"/>
        <v>41904.321375000007</v>
      </c>
      <c r="V26" s="702">
        <f t="shared" si="5"/>
        <v>0</v>
      </c>
      <c r="W26" s="702">
        <f t="shared" si="5"/>
        <v>470681.53512500005</v>
      </c>
      <c r="X26" s="484"/>
      <c r="Y26" s="484"/>
    </row>
    <row r="27" spans="2:33" s="834" customFormat="1" ht="17.25" customHeight="1">
      <c r="B27" s="837"/>
      <c r="C27" s="226" t="s">
        <v>303</v>
      </c>
      <c r="D27" s="226"/>
      <c r="E27" s="226"/>
      <c r="F27" s="893"/>
      <c r="G27" s="893"/>
      <c r="H27" s="226"/>
      <c r="I27" s="226" t="s">
        <v>603</v>
      </c>
      <c r="J27" s="738"/>
      <c r="K27" s="738"/>
      <c r="L27" s="837"/>
      <c r="M27" s="837"/>
      <c r="N27" s="837"/>
      <c r="O27" s="837"/>
      <c r="P27" s="837"/>
      <c r="Q27" s="837"/>
      <c r="R27" s="894"/>
      <c r="S27" s="895"/>
      <c r="T27" s="837"/>
      <c r="U27" s="837"/>
      <c r="V27" s="837"/>
      <c r="W27" s="896"/>
      <c r="X27" s="897"/>
      <c r="Y27" s="897"/>
      <c r="Z27" s="898"/>
      <c r="AA27" s="898"/>
      <c r="AB27" s="898"/>
      <c r="AC27" s="898"/>
      <c r="AD27" s="898"/>
      <c r="AE27" s="837"/>
      <c r="AF27" s="837"/>
      <c r="AG27" s="837"/>
    </row>
    <row r="28" spans="2:33" s="834" customFormat="1" ht="18" customHeight="1">
      <c r="B28" s="837"/>
      <c r="C28" s="226" t="s">
        <v>474</v>
      </c>
      <c r="D28" s="226"/>
      <c r="E28" s="226"/>
      <c r="F28" s="893"/>
      <c r="G28" s="893"/>
      <c r="H28" s="226"/>
      <c r="I28" s="226" t="s">
        <v>595</v>
      </c>
      <c r="J28" s="226"/>
      <c r="K28" s="226"/>
      <c r="L28" s="59"/>
      <c r="M28" s="33"/>
      <c r="N28" s="33"/>
      <c r="O28" s="33"/>
      <c r="P28" s="837"/>
      <c r="Q28" s="837"/>
      <c r="R28" s="894"/>
      <c r="S28" s="837"/>
      <c r="T28" s="837"/>
      <c r="U28" s="837"/>
      <c r="V28" s="837"/>
      <c r="W28" s="896"/>
      <c r="X28" s="898"/>
      <c r="Y28" s="898"/>
      <c r="Z28" s="898"/>
      <c r="AA28" s="898"/>
      <c r="AB28" s="898"/>
      <c r="AC28" s="898"/>
      <c r="AD28" s="898"/>
      <c r="AE28" s="837"/>
      <c r="AF28" s="837"/>
      <c r="AG28" s="837"/>
    </row>
    <row r="29" spans="2:33" s="834" customFormat="1" ht="18.75" customHeight="1">
      <c r="B29" s="837"/>
      <c r="C29" s="226" t="s">
        <v>572</v>
      </c>
      <c r="D29" s="226"/>
      <c r="E29" s="226"/>
      <c r="F29" s="893"/>
      <c r="G29" s="893"/>
      <c r="H29" s="226"/>
      <c r="I29" s="226" t="s">
        <v>610</v>
      </c>
      <c r="J29" s="226"/>
      <c r="K29" s="226"/>
      <c r="L29" s="59"/>
      <c r="M29" s="33"/>
      <c r="N29" s="33"/>
      <c r="O29" s="33"/>
      <c r="P29" s="837"/>
      <c r="Q29" s="837"/>
      <c r="R29" s="894"/>
      <c r="S29" s="837"/>
      <c r="T29" s="837"/>
      <c r="U29" s="837"/>
      <c r="V29" s="895"/>
      <c r="W29" s="894"/>
      <c r="X29" s="898"/>
      <c r="Y29" s="898"/>
      <c r="Z29" s="898"/>
      <c r="AA29" s="898"/>
      <c r="AB29" s="898"/>
      <c r="AC29" s="898"/>
      <c r="AD29" s="898"/>
      <c r="AE29" s="837"/>
      <c r="AF29" s="837"/>
      <c r="AG29" s="837"/>
    </row>
    <row r="30" spans="2:33" s="834" customFormat="1"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33"/>
      <c r="M30" s="33"/>
      <c r="N30" s="33"/>
      <c r="O30" s="899"/>
      <c r="P30" s="837"/>
      <c r="Q30" s="837"/>
      <c r="R30" s="894"/>
      <c r="S30" s="837"/>
      <c r="T30" s="837"/>
      <c r="U30" s="837"/>
      <c r="V30" s="837"/>
      <c r="W30" s="894"/>
      <c r="X30" s="898"/>
      <c r="Y30" s="898"/>
      <c r="Z30" s="898"/>
      <c r="AA30" s="898"/>
      <c r="AB30" s="898"/>
      <c r="AC30" s="898"/>
      <c r="AD30" s="898"/>
      <c r="AE30" s="837"/>
      <c r="AF30" s="837"/>
      <c r="AG30" s="837"/>
    </row>
    <row r="31" spans="2:33" s="834" customFormat="1">
      <c r="B31" s="837"/>
      <c r="C31" s="226"/>
      <c r="D31" s="226"/>
      <c r="E31" s="226"/>
      <c r="F31" s="893"/>
      <c r="G31" s="893"/>
      <c r="H31" s="226"/>
      <c r="I31" s="226"/>
      <c r="J31" s="226"/>
      <c r="K31" s="226"/>
      <c r="L31" s="33"/>
      <c r="M31" s="33"/>
      <c r="N31" s="33"/>
      <c r="O31" s="33"/>
      <c r="P31" s="837"/>
      <c r="Q31" s="837"/>
      <c r="R31" s="894"/>
      <c r="S31" s="837"/>
      <c r="T31" s="837"/>
      <c r="U31" s="837"/>
      <c r="V31" s="837"/>
      <c r="W31" s="894"/>
      <c r="X31" s="898"/>
      <c r="Y31" s="898"/>
      <c r="Z31" s="898"/>
      <c r="AA31" s="898"/>
      <c r="AB31" s="898"/>
      <c r="AC31" s="898"/>
      <c r="AD31" s="898"/>
      <c r="AE31" s="837"/>
      <c r="AF31" s="837"/>
      <c r="AG31" s="837"/>
    </row>
    <row r="32" spans="2:33" s="834" customFormat="1" ht="9.75"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94"/>
      <c r="S32" s="837"/>
      <c r="T32" s="837"/>
      <c r="U32" s="837"/>
      <c r="V32" s="837"/>
      <c r="W32" s="894"/>
      <c r="X32" s="898"/>
      <c r="Y32" s="898"/>
      <c r="Z32" s="898"/>
      <c r="AA32" s="898"/>
      <c r="AB32" s="898"/>
      <c r="AC32" s="898"/>
      <c r="AD32" s="898"/>
      <c r="AE32" s="837"/>
      <c r="AF32" s="837"/>
      <c r="AG32" s="837"/>
    </row>
    <row r="33" spans="16:30" s="834" customFormat="1" ht="9.75">
      <c r="R33" s="900"/>
      <c r="W33" s="900"/>
      <c r="X33" s="19"/>
      <c r="Y33" s="19"/>
      <c r="Z33" s="19"/>
      <c r="AA33" s="19"/>
      <c r="AB33" s="19"/>
      <c r="AC33" s="19"/>
      <c r="AD33" s="19"/>
    </row>
    <row r="34" spans="16:30" s="834" customFormat="1" ht="9.75">
      <c r="R34" s="900"/>
      <c r="W34" s="900"/>
      <c r="X34" s="19"/>
      <c r="Y34" s="19"/>
      <c r="Z34" s="19"/>
      <c r="AA34" s="19"/>
      <c r="AB34" s="19"/>
      <c r="AC34" s="19"/>
      <c r="AD34" s="19"/>
    </row>
    <row r="35" spans="16:30" s="834" customFormat="1" ht="9.75">
      <c r="R35" s="900"/>
      <c r="W35" s="900"/>
      <c r="X35" s="19"/>
      <c r="Y35" s="19"/>
      <c r="Z35" s="19"/>
      <c r="AA35" s="19"/>
      <c r="AB35" s="19"/>
      <c r="AC35" s="19"/>
      <c r="AD35" s="19"/>
    </row>
    <row r="36" spans="16:30" s="834" customFormat="1" ht="9.75">
      <c r="R36" s="900"/>
      <c r="W36" s="900"/>
      <c r="X36" s="19"/>
      <c r="Y36" s="19"/>
      <c r="Z36" s="19"/>
      <c r="AA36" s="19"/>
      <c r="AB36" s="19"/>
      <c r="AC36" s="19"/>
      <c r="AD36" s="19"/>
    </row>
    <row r="37" spans="16:30" s="834" customFormat="1" ht="9.75">
      <c r="R37" s="900"/>
      <c r="W37" s="900"/>
      <c r="X37" s="19"/>
      <c r="Y37" s="19"/>
      <c r="Z37" s="19"/>
      <c r="AA37" s="19"/>
      <c r="AB37" s="19"/>
      <c r="AC37" s="19"/>
      <c r="AD37" s="19"/>
    </row>
    <row r="38" spans="16:30" s="834" customFormat="1" ht="9.75">
      <c r="R38" s="900"/>
      <c r="W38" s="900"/>
      <c r="X38" s="19"/>
      <c r="Y38" s="19"/>
      <c r="Z38" s="19"/>
      <c r="AA38" s="19"/>
      <c r="AB38" s="19"/>
      <c r="AC38" s="19"/>
      <c r="AD38" s="19"/>
    </row>
    <row r="39" spans="16:30" ht="9.75">
      <c r="P39" s="110"/>
      <c r="Q39" s="110"/>
      <c r="R39" s="111"/>
      <c r="S39" s="110"/>
      <c r="T39" s="110"/>
      <c r="U39" s="110"/>
      <c r="V39" s="110"/>
      <c r="W39" s="111"/>
    </row>
  </sheetData>
  <mergeCells count="15">
    <mergeCell ref="T14:T16"/>
    <mergeCell ref="U14:U16"/>
    <mergeCell ref="V14:V16"/>
    <mergeCell ref="W14:W16"/>
    <mergeCell ref="I7:W7"/>
    <mergeCell ref="F9:T9"/>
    <mergeCell ref="H10:W10"/>
    <mergeCell ref="R14:R16"/>
    <mergeCell ref="S14:S16"/>
    <mergeCell ref="Q14:Q16"/>
    <mergeCell ref="C14:C16"/>
    <mergeCell ref="D14:D16"/>
    <mergeCell ref="K14:K16"/>
    <mergeCell ref="O14:O16"/>
    <mergeCell ref="P14:P16"/>
  </mergeCells>
  <pageMargins left="0.82677165354330717" right="0.23622047244094491" top="1.1811023622047245" bottom="0.98425196850393704" header="0.51181102362204722" footer="0.51181102362204722"/>
  <pageSetup paperSize="9" scale="10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41"/>
  <sheetViews>
    <sheetView view="pageBreakPreview" topLeftCell="A2" zoomScale="120" zoomScaleNormal="90" zoomScaleSheetLayoutView="120" workbookViewId="0">
      <selection activeCell="C2" sqref="C1:C1048576"/>
    </sheetView>
  </sheetViews>
  <sheetFormatPr defaultRowHeight="12.75"/>
  <cols>
    <col min="1" max="1" width="2.85546875" style="110" customWidth="1"/>
    <col min="2" max="2" width="2.5703125" style="110" customWidth="1"/>
    <col min="3" max="3" width="9.7109375" style="110" customWidth="1"/>
    <col min="4" max="4" width="7.5703125" style="110" customWidth="1"/>
    <col min="5" max="5" width="10.7109375" style="110" hidden="1" customWidth="1"/>
    <col min="6" max="6" width="6.7109375" style="110" hidden="1" customWidth="1"/>
    <col min="7" max="7" width="6.7109375" style="110" customWidth="1"/>
    <col min="8" max="8" width="5.7109375" style="110" customWidth="1"/>
    <col min="9" max="9" width="5.5703125" style="110" customWidth="1"/>
    <col min="10" max="10" width="5.85546875" style="110" customWidth="1"/>
    <col min="11" max="11" width="5.85546875" style="834" customWidth="1"/>
    <col min="12" max="12" width="8" style="110" customWidth="1"/>
    <col min="13" max="14" width="3.28515625" style="110" hidden="1" customWidth="1"/>
    <col min="15" max="15" width="4.42578125" style="110" hidden="1" customWidth="1"/>
    <col min="16" max="17" width="6.140625" style="28" customWidth="1"/>
    <col min="18" max="18" width="6.7109375" style="30" customWidth="1"/>
    <col min="19" max="19" width="6.7109375" style="28" customWidth="1"/>
    <col min="20" max="20" width="6.140625" style="28" customWidth="1"/>
    <col min="21" max="21" width="8.28515625" style="28" customWidth="1"/>
    <col min="22" max="22" width="7.42578125" style="28" hidden="1" customWidth="1"/>
    <col min="23" max="23" width="7.42578125" style="30" customWidth="1"/>
    <col min="24" max="24" width="3.42578125" style="25" customWidth="1"/>
    <col min="25" max="25" width="4.85546875" style="25" customWidth="1"/>
    <col min="26" max="30" width="9.140625" style="25"/>
    <col min="31" max="16384" width="9.140625" style="110"/>
  </cols>
  <sheetData>
    <row r="2" spans="2:36">
      <c r="B2" s="11"/>
      <c r="C2" s="11"/>
      <c r="D2" s="11"/>
      <c r="E2" s="11"/>
      <c r="F2" s="8"/>
      <c r="G2" s="8"/>
      <c r="H2" s="11"/>
      <c r="I2" s="11"/>
      <c r="J2" s="11"/>
      <c r="K2" s="37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36">
      <c r="B3" s="11"/>
      <c r="C3" s="11"/>
      <c r="D3" s="11"/>
      <c r="E3" s="11"/>
      <c r="F3" s="8"/>
      <c r="G3" s="8"/>
      <c r="H3" s="11"/>
      <c r="I3" s="11"/>
      <c r="J3" s="11"/>
      <c r="K3" s="37"/>
      <c r="L3" s="11"/>
      <c r="M3" s="11"/>
      <c r="N3" s="11"/>
      <c r="O3" s="11"/>
      <c r="P3" s="11"/>
      <c r="Q3" s="11"/>
      <c r="R3" s="8"/>
      <c r="S3" s="11"/>
      <c r="T3" s="11"/>
      <c r="U3" s="11"/>
      <c r="V3" s="11"/>
      <c r="W3" s="8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2:36">
      <c r="B4" s="11"/>
      <c r="C4" s="11"/>
      <c r="D4" s="11"/>
      <c r="E4" s="11"/>
      <c r="F4" s="8"/>
      <c r="G4" s="8"/>
      <c r="H4" s="11"/>
      <c r="I4" s="11"/>
      <c r="J4" s="11"/>
      <c r="K4" s="37"/>
      <c r="L4" s="11"/>
      <c r="M4" s="11"/>
      <c r="N4" s="11"/>
      <c r="O4" s="11"/>
      <c r="P4" s="11"/>
      <c r="Q4" s="11"/>
      <c r="R4" s="8"/>
      <c r="S4" s="11"/>
      <c r="T4" s="11"/>
      <c r="U4" s="11"/>
      <c r="V4" s="11"/>
      <c r="W4" s="8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2:36" ht="16.5" customHeight="1">
      <c r="B5" s="11"/>
      <c r="C5" s="11"/>
      <c r="D5" s="11"/>
      <c r="E5" s="11"/>
      <c r="F5" s="10" t="s">
        <v>261</v>
      </c>
      <c r="G5" s="10" t="s">
        <v>601</v>
      </c>
      <c r="H5" s="10"/>
      <c r="I5" s="7"/>
      <c r="J5" s="10"/>
      <c r="K5" s="59"/>
      <c r="L5" s="10"/>
      <c r="M5" s="10"/>
      <c r="N5" s="10"/>
      <c r="O5" s="10"/>
      <c r="P5" s="10"/>
      <c r="Q5" s="10"/>
      <c r="R5" s="7"/>
      <c r="S5" s="10"/>
      <c r="T5" s="10"/>
      <c r="U5" s="10"/>
      <c r="V5" s="10"/>
      <c r="W5" s="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36">
      <c r="B6" s="11"/>
      <c r="C6" s="11"/>
      <c r="D6" s="11"/>
      <c r="E6" s="11"/>
      <c r="F6" s="8"/>
      <c r="G6" s="8"/>
      <c r="H6" s="10"/>
      <c r="I6" s="7"/>
      <c r="J6" s="10"/>
      <c r="K6" s="59"/>
      <c r="L6" s="10"/>
      <c r="M6" s="10"/>
      <c r="N6" s="10"/>
      <c r="O6" s="10"/>
      <c r="P6" s="10"/>
      <c r="Q6" s="10"/>
      <c r="R6" s="7"/>
      <c r="S6" s="10"/>
      <c r="T6" s="10"/>
      <c r="U6" s="10"/>
      <c r="V6" s="10"/>
      <c r="W6" s="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2:36">
      <c r="B7" s="11"/>
      <c r="C7" s="11"/>
      <c r="D7" s="11"/>
      <c r="E7" s="10"/>
      <c r="F7" s="7"/>
      <c r="G7" s="7"/>
      <c r="H7" s="10"/>
      <c r="I7" s="1221" t="s">
        <v>107</v>
      </c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2:36">
      <c r="B8" s="11"/>
      <c r="C8" s="11"/>
      <c r="D8" s="11"/>
      <c r="E8" s="10"/>
      <c r="F8" s="346"/>
      <c r="G8" s="346"/>
      <c r="H8" s="820"/>
      <c r="I8" s="820"/>
      <c r="J8" s="820"/>
      <c r="K8" s="835"/>
      <c r="L8" s="820"/>
      <c r="M8" s="820"/>
      <c r="N8" s="820"/>
      <c r="O8" s="820"/>
      <c r="P8" s="820"/>
      <c r="Q8" s="820"/>
      <c r="R8" s="346"/>
      <c r="S8" s="820"/>
      <c r="T8" s="820"/>
      <c r="U8" s="820"/>
      <c r="V8" s="820"/>
      <c r="W8" s="34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2:36">
      <c r="B9" s="11"/>
      <c r="C9" s="11"/>
      <c r="D9" s="11"/>
      <c r="E9" s="10"/>
      <c r="F9" s="1222" t="s">
        <v>616</v>
      </c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1222"/>
      <c r="U9" s="346"/>
      <c r="V9" s="346"/>
      <c r="W9" s="34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2:36">
      <c r="B10" s="11"/>
      <c r="C10" s="11"/>
      <c r="D10" s="11"/>
      <c r="E10" s="11"/>
      <c r="F10" s="821"/>
      <c r="G10" s="821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23"/>
      <c r="U10" s="1223"/>
      <c r="V10" s="1223"/>
      <c r="W10" s="1223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2:36" ht="15.75" customHeight="1">
      <c r="B11" s="11"/>
      <c r="C11" s="11"/>
      <c r="D11" s="11"/>
      <c r="E11" s="11"/>
      <c r="F11" s="822"/>
      <c r="G11" s="822" t="s">
        <v>108</v>
      </c>
      <c r="H11" s="822"/>
      <c r="I11" s="822"/>
      <c r="J11" s="822"/>
      <c r="K11" s="836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2:36">
      <c r="B12" s="11"/>
      <c r="C12" s="11"/>
      <c r="D12" s="11"/>
      <c r="E12" s="11"/>
      <c r="F12" s="346"/>
      <c r="G12" s="346"/>
      <c r="H12" s="820"/>
      <c r="I12" s="820"/>
      <c r="J12" s="820"/>
      <c r="K12" s="835"/>
      <c r="L12" s="820"/>
      <c r="M12" s="820"/>
      <c r="N12" s="820"/>
      <c r="O12" s="820"/>
      <c r="P12" s="820"/>
      <c r="Q12" s="820"/>
      <c r="R12" s="346"/>
      <c r="S12" s="820"/>
      <c r="T12" s="820"/>
      <c r="U12" s="820"/>
      <c r="V12" s="820"/>
      <c r="W12" s="34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2:36">
      <c r="B13" s="11"/>
      <c r="C13" s="11"/>
      <c r="D13" s="11"/>
      <c r="E13" s="11"/>
      <c r="F13" s="8"/>
      <c r="G13" s="8"/>
      <c r="H13" s="5"/>
      <c r="I13" s="11"/>
      <c r="J13" s="11"/>
      <c r="K13" s="37"/>
      <c r="L13" s="11"/>
      <c r="M13" s="11"/>
      <c r="N13" s="11"/>
      <c r="O13" s="11"/>
      <c r="P13" s="11"/>
      <c r="Q13" s="11"/>
      <c r="R13" s="8"/>
      <c r="S13" s="11"/>
      <c r="T13" s="11"/>
      <c r="U13" s="11"/>
      <c r="V13" s="11"/>
      <c r="W13" s="8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2:36" s="317" customFormat="1" ht="11.25" customHeight="1">
      <c r="B14" s="476" t="s">
        <v>265</v>
      </c>
      <c r="C14" s="1271" t="s">
        <v>109</v>
      </c>
      <c r="D14" s="1271" t="s">
        <v>415</v>
      </c>
      <c r="E14" s="727" t="s">
        <v>110</v>
      </c>
      <c r="F14" s="728" t="s">
        <v>111</v>
      </c>
      <c r="G14" s="728"/>
      <c r="H14" s="728" t="s">
        <v>269</v>
      </c>
      <c r="I14" s="727" t="s">
        <v>270</v>
      </c>
      <c r="J14" s="727"/>
      <c r="K14" s="1163" t="s">
        <v>613</v>
      </c>
      <c r="L14" s="727" t="s">
        <v>271</v>
      </c>
      <c r="M14" s="729" t="s">
        <v>272</v>
      </c>
      <c r="N14" s="729" t="s">
        <v>272</v>
      </c>
      <c r="O14" s="1274" t="s">
        <v>341</v>
      </c>
      <c r="P14" s="1275" t="s">
        <v>112</v>
      </c>
      <c r="Q14" s="1275" t="s">
        <v>675</v>
      </c>
      <c r="R14" s="1275" t="s">
        <v>113</v>
      </c>
      <c r="S14" s="1276" t="s">
        <v>114</v>
      </c>
      <c r="T14" s="1276" t="s">
        <v>115</v>
      </c>
      <c r="U14" s="1278" t="s">
        <v>577</v>
      </c>
      <c r="V14" s="1271" t="s">
        <v>274</v>
      </c>
      <c r="W14" s="1275" t="s">
        <v>597</v>
      </c>
      <c r="X14" s="318"/>
      <c r="Y14" s="318"/>
      <c r="Z14" s="318"/>
      <c r="AA14" s="318"/>
      <c r="AB14" s="318"/>
      <c r="AC14" s="318"/>
      <c r="AD14" s="318"/>
    </row>
    <row r="15" spans="2:36" s="317" customFormat="1" ht="11.25" customHeight="1">
      <c r="B15" s="477" t="s">
        <v>276</v>
      </c>
      <c r="C15" s="1272"/>
      <c r="D15" s="1272"/>
      <c r="E15" s="730" t="s">
        <v>116</v>
      </c>
      <c r="F15" s="731" t="s">
        <v>586</v>
      </c>
      <c r="G15" s="731"/>
      <c r="H15" s="731" t="s">
        <v>278</v>
      </c>
      <c r="I15" s="730" t="s">
        <v>279</v>
      </c>
      <c r="J15" s="730" t="s">
        <v>398</v>
      </c>
      <c r="K15" s="1164"/>
      <c r="L15" s="730" t="s">
        <v>280</v>
      </c>
      <c r="M15" s="732" t="s">
        <v>281</v>
      </c>
      <c r="N15" s="732" t="s">
        <v>281</v>
      </c>
      <c r="O15" s="1274"/>
      <c r="P15" s="1272"/>
      <c r="Q15" s="1272"/>
      <c r="R15" s="1272"/>
      <c r="S15" s="1277"/>
      <c r="T15" s="1277"/>
      <c r="U15" s="1279"/>
      <c r="V15" s="1281"/>
      <c r="W15" s="1272"/>
      <c r="X15" s="318"/>
      <c r="Y15" s="318"/>
      <c r="Z15" s="318"/>
      <c r="AA15" s="318"/>
      <c r="AB15" s="318"/>
      <c r="AC15" s="318"/>
      <c r="AD15" s="318"/>
    </row>
    <row r="16" spans="2:36" s="317" customFormat="1" ht="27" customHeight="1">
      <c r="B16" s="478"/>
      <c r="C16" s="1273"/>
      <c r="D16" s="1273"/>
      <c r="E16" s="733"/>
      <c r="F16" s="734" t="s">
        <v>399</v>
      </c>
      <c r="G16" s="734" t="s">
        <v>598</v>
      </c>
      <c r="H16" s="734" t="s">
        <v>283</v>
      </c>
      <c r="I16" s="733"/>
      <c r="J16" s="733"/>
      <c r="K16" s="1165"/>
      <c r="L16" s="733" t="s">
        <v>284</v>
      </c>
      <c r="M16" s="735">
        <v>18</v>
      </c>
      <c r="N16" s="735">
        <v>20</v>
      </c>
      <c r="O16" s="1274"/>
      <c r="P16" s="1272"/>
      <c r="Q16" s="1273"/>
      <c r="R16" s="1272"/>
      <c r="S16" s="1277"/>
      <c r="T16" s="1277"/>
      <c r="U16" s="1280"/>
      <c r="V16" s="1281"/>
      <c r="W16" s="1272"/>
      <c r="X16" s="318"/>
      <c r="Y16" s="318"/>
      <c r="Z16" s="318"/>
      <c r="AA16" s="318"/>
      <c r="AB16" s="318"/>
      <c r="AC16" s="318"/>
      <c r="AD16" s="318"/>
    </row>
    <row r="17" spans="2:33" s="25" customFormat="1" ht="12" customHeight="1">
      <c r="B17" s="104">
        <v>1</v>
      </c>
      <c r="C17" s="104" t="s">
        <v>579</v>
      </c>
      <c r="D17" s="104" t="s">
        <v>403</v>
      </c>
      <c r="E17" s="104"/>
      <c r="F17" s="104" t="s">
        <v>119</v>
      </c>
      <c r="G17" s="104" t="s">
        <v>587</v>
      </c>
      <c r="H17" s="703" t="s">
        <v>633</v>
      </c>
      <c r="I17" s="704" t="s">
        <v>374</v>
      </c>
      <c r="J17" s="104">
        <v>17697</v>
      </c>
      <c r="K17" s="715">
        <v>4.4400000000000004</v>
      </c>
      <c r="L17" s="705">
        <f t="shared" ref="L17:L25" si="0">J17*K17</f>
        <v>78574.680000000008</v>
      </c>
      <c r="M17" s="706">
        <v>18</v>
      </c>
      <c r="N17" s="707">
        <v>20</v>
      </c>
      <c r="O17" s="708"/>
      <c r="P17" s="104"/>
      <c r="Q17" s="104"/>
      <c r="R17" s="103">
        <v>1</v>
      </c>
      <c r="S17" s="705">
        <f>L17*R17</f>
        <v>78574.680000000008</v>
      </c>
      <c r="T17" s="709">
        <f t="shared" ref="T17:T22" si="1">S17*25%</f>
        <v>19643.670000000002</v>
      </c>
      <c r="U17" s="709">
        <f>(S17+T17)*10%</f>
        <v>9821.8350000000009</v>
      </c>
      <c r="V17" s="709"/>
      <c r="W17" s="710">
        <f>T17+S17+P17+U17+Q17</f>
        <v>108040.18500000001</v>
      </c>
    </row>
    <row r="18" spans="2:33" s="25" customFormat="1" ht="12" customHeight="1">
      <c r="B18" s="104">
        <v>2</v>
      </c>
      <c r="C18" s="104" t="s">
        <v>602</v>
      </c>
      <c r="D18" s="104" t="s">
        <v>403</v>
      </c>
      <c r="E18" s="104"/>
      <c r="F18" s="104"/>
      <c r="G18" s="104" t="s">
        <v>582</v>
      </c>
      <c r="H18" s="703" t="s">
        <v>661</v>
      </c>
      <c r="I18" s="704" t="s">
        <v>355</v>
      </c>
      <c r="J18" s="104">
        <v>17697</v>
      </c>
      <c r="K18" s="715">
        <v>4.2699999999999996</v>
      </c>
      <c r="L18" s="705">
        <f t="shared" si="0"/>
        <v>75566.189999999988</v>
      </c>
      <c r="M18" s="706">
        <v>18</v>
      </c>
      <c r="N18" s="707">
        <v>20</v>
      </c>
      <c r="O18" s="707"/>
      <c r="P18" s="104"/>
      <c r="Q18" s="104"/>
      <c r="R18" s="103">
        <v>0.5</v>
      </c>
      <c r="S18" s="705">
        <f>L18*R18</f>
        <v>37783.094999999994</v>
      </c>
      <c r="T18" s="709">
        <f t="shared" si="1"/>
        <v>9445.7737499999985</v>
      </c>
      <c r="U18" s="709">
        <f t="shared" ref="U18:U25" si="2">(S18+T18)*10%</f>
        <v>4722.8868749999992</v>
      </c>
      <c r="V18" s="709"/>
      <c r="W18" s="710">
        <f t="shared" ref="W18:W25" si="3">T18+S18+P18+U18+Q18</f>
        <v>51951.755624999991</v>
      </c>
    </row>
    <row r="19" spans="2:33" s="25" customFormat="1" ht="12" customHeight="1">
      <c r="B19" s="104">
        <v>3</v>
      </c>
      <c r="C19" s="104" t="s">
        <v>426</v>
      </c>
      <c r="D19" s="790" t="s">
        <v>403</v>
      </c>
      <c r="E19" s="104" t="s">
        <v>124</v>
      </c>
      <c r="F19" s="104" t="s">
        <v>119</v>
      </c>
      <c r="G19" s="715" t="s">
        <v>582</v>
      </c>
      <c r="H19" s="703" t="s">
        <v>660</v>
      </c>
      <c r="I19" s="704" t="s">
        <v>355</v>
      </c>
      <c r="J19" s="104">
        <v>17697</v>
      </c>
      <c r="K19" s="715">
        <v>4.0999999999999996</v>
      </c>
      <c r="L19" s="705">
        <v>72558</v>
      </c>
      <c r="M19" s="706">
        <v>18</v>
      </c>
      <c r="N19" s="707">
        <v>20</v>
      </c>
      <c r="O19" s="707"/>
      <c r="P19" s="104"/>
      <c r="Q19" s="104"/>
      <c r="R19" s="103">
        <v>1</v>
      </c>
      <c r="S19" s="705">
        <f t="shared" ref="S19:S25" si="4">L19*R19</f>
        <v>72558</v>
      </c>
      <c r="T19" s="709">
        <f t="shared" si="1"/>
        <v>18139.5</v>
      </c>
      <c r="U19" s="709">
        <f t="shared" si="2"/>
        <v>9069.75</v>
      </c>
      <c r="V19" s="709"/>
      <c r="W19" s="710">
        <f t="shared" si="3"/>
        <v>99767.25</v>
      </c>
    </row>
    <row r="20" spans="2:33" s="25" customFormat="1" ht="12" customHeight="1">
      <c r="B20" s="104">
        <v>4</v>
      </c>
      <c r="C20" s="104" t="s">
        <v>578</v>
      </c>
      <c r="D20" s="104" t="s">
        <v>403</v>
      </c>
      <c r="E20" s="104" t="s">
        <v>125</v>
      </c>
      <c r="F20" s="104" t="s">
        <v>424</v>
      </c>
      <c r="G20" s="104" t="s">
        <v>589</v>
      </c>
      <c r="H20" s="703" t="s">
        <v>662</v>
      </c>
      <c r="I20" s="704" t="s">
        <v>355</v>
      </c>
      <c r="J20" s="104">
        <v>17697</v>
      </c>
      <c r="K20" s="715">
        <v>4.51</v>
      </c>
      <c r="L20" s="705">
        <f t="shared" si="0"/>
        <v>79813.47</v>
      </c>
      <c r="M20" s="711">
        <v>18</v>
      </c>
      <c r="N20" s="230">
        <v>20</v>
      </c>
      <c r="O20" s="712"/>
      <c r="P20" s="713">
        <v>2655</v>
      </c>
      <c r="Q20" s="713"/>
      <c r="R20" s="103">
        <v>0.5</v>
      </c>
      <c r="S20" s="705">
        <f t="shared" si="4"/>
        <v>39906.735000000001</v>
      </c>
      <c r="T20" s="709">
        <f t="shared" si="1"/>
        <v>9976.6837500000001</v>
      </c>
      <c r="U20" s="709">
        <f t="shared" si="2"/>
        <v>4988.3418750000001</v>
      </c>
      <c r="V20" s="709"/>
      <c r="W20" s="710">
        <f t="shared" si="3"/>
        <v>57526.760624999995</v>
      </c>
    </row>
    <row r="21" spans="2:33" s="25" customFormat="1" ht="12" customHeight="1">
      <c r="B21" s="104">
        <v>5</v>
      </c>
      <c r="C21" s="104" t="s">
        <v>5</v>
      </c>
      <c r="D21" s="104" t="s">
        <v>403</v>
      </c>
      <c r="E21" s="104"/>
      <c r="F21" s="104" t="s">
        <v>424</v>
      </c>
      <c r="G21" s="104" t="s">
        <v>587</v>
      </c>
      <c r="H21" s="703" t="s">
        <v>663</v>
      </c>
      <c r="I21" s="704" t="s">
        <v>374</v>
      </c>
      <c r="J21" s="104">
        <v>17697</v>
      </c>
      <c r="K21" s="715">
        <v>4.51</v>
      </c>
      <c r="L21" s="705">
        <f t="shared" si="0"/>
        <v>79813.47</v>
      </c>
      <c r="M21" s="711">
        <v>18</v>
      </c>
      <c r="N21" s="230">
        <v>20</v>
      </c>
      <c r="O21" s="714"/>
      <c r="P21" s="104"/>
      <c r="Q21" s="104">
        <v>7079</v>
      </c>
      <c r="R21" s="103">
        <v>1</v>
      </c>
      <c r="S21" s="705">
        <f t="shared" si="4"/>
        <v>79813.47</v>
      </c>
      <c r="T21" s="709">
        <f t="shared" si="1"/>
        <v>19953.3675</v>
      </c>
      <c r="U21" s="709">
        <f t="shared" si="2"/>
        <v>9976.6837500000001</v>
      </c>
      <c r="V21" s="709"/>
      <c r="W21" s="710">
        <f t="shared" si="3"/>
        <v>116822.52124999999</v>
      </c>
    </row>
    <row r="22" spans="2:33" s="25" customFormat="1" ht="12" customHeight="1">
      <c r="B22" s="104">
        <v>6</v>
      </c>
      <c r="C22" s="104" t="s">
        <v>290</v>
      </c>
      <c r="D22" s="790" t="s">
        <v>366</v>
      </c>
      <c r="E22" s="104" t="s">
        <v>127</v>
      </c>
      <c r="F22" s="104" t="s">
        <v>424</v>
      </c>
      <c r="G22" s="104" t="s">
        <v>584</v>
      </c>
      <c r="H22" s="39" t="s">
        <v>634</v>
      </c>
      <c r="I22" s="704" t="s">
        <v>355</v>
      </c>
      <c r="J22" s="104">
        <v>17697</v>
      </c>
      <c r="K22" s="715">
        <v>3.53</v>
      </c>
      <c r="L22" s="705">
        <f t="shared" si="0"/>
        <v>62470.409999999996</v>
      </c>
      <c r="M22" s="711">
        <v>18</v>
      </c>
      <c r="N22" s="230">
        <v>20</v>
      </c>
      <c r="O22" s="230"/>
      <c r="P22" s="104"/>
      <c r="Q22" s="104"/>
      <c r="R22" s="103">
        <v>0.5</v>
      </c>
      <c r="S22" s="705">
        <f t="shared" si="4"/>
        <v>31235.204999999998</v>
      </c>
      <c r="T22" s="709">
        <f t="shared" si="1"/>
        <v>7808.8012499999995</v>
      </c>
      <c r="U22" s="709">
        <f t="shared" si="2"/>
        <v>3904.4006250000002</v>
      </c>
      <c r="V22" s="709"/>
      <c r="W22" s="710">
        <f t="shared" si="3"/>
        <v>42948.406875000001</v>
      </c>
    </row>
    <row r="23" spans="2:33" s="25" customFormat="1" ht="12" customHeight="1">
      <c r="B23" s="104">
        <v>7</v>
      </c>
      <c r="C23" s="104" t="s">
        <v>298</v>
      </c>
      <c r="D23" s="104" t="s">
        <v>403</v>
      </c>
      <c r="E23" s="104"/>
      <c r="F23" s="104"/>
      <c r="G23" s="104" t="s">
        <v>588</v>
      </c>
      <c r="H23" s="39" t="s">
        <v>622</v>
      </c>
      <c r="I23" s="704" t="s">
        <v>355</v>
      </c>
      <c r="J23" s="104">
        <v>17697</v>
      </c>
      <c r="K23" s="715">
        <v>4.0599999999999996</v>
      </c>
      <c r="L23" s="705">
        <f t="shared" si="0"/>
        <v>71849.819999999992</v>
      </c>
      <c r="M23" s="711"/>
      <c r="N23" s="230"/>
      <c r="O23" s="230"/>
      <c r="P23" s="104"/>
      <c r="Q23" s="104"/>
      <c r="R23" s="103">
        <v>0.25</v>
      </c>
      <c r="S23" s="705">
        <f>L23*R23</f>
        <v>17962.454999999998</v>
      </c>
      <c r="T23" s="709"/>
      <c r="U23" s="709">
        <f t="shared" si="2"/>
        <v>1796.2455</v>
      </c>
      <c r="V23" s="709"/>
      <c r="W23" s="710">
        <f t="shared" si="3"/>
        <v>19758.700499999999</v>
      </c>
    </row>
    <row r="24" spans="2:33" s="19" customFormat="1" ht="12" customHeight="1">
      <c r="B24" s="715">
        <v>8</v>
      </c>
      <c r="C24" s="715" t="s">
        <v>298</v>
      </c>
      <c r="D24" s="715" t="s">
        <v>403</v>
      </c>
      <c r="E24" s="715"/>
      <c r="F24" s="715"/>
      <c r="G24" s="715" t="s">
        <v>588</v>
      </c>
      <c r="H24" s="904" t="s">
        <v>621</v>
      </c>
      <c r="I24" s="71" t="s">
        <v>355</v>
      </c>
      <c r="J24" s="715">
        <v>17697</v>
      </c>
      <c r="K24" s="715">
        <v>3.94</v>
      </c>
      <c r="L24" s="705">
        <f t="shared" si="0"/>
        <v>69726.179999999993</v>
      </c>
      <c r="M24" s="716"/>
      <c r="N24" s="717"/>
      <c r="O24" s="717"/>
      <c r="P24" s="715"/>
      <c r="Q24" s="715"/>
      <c r="R24" s="39">
        <v>0.25</v>
      </c>
      <c r="S24" s="705">
        <f t="shared" si="4"/>
        <v>17431.544999999998</v>
      </c>
      <c r="T24" s="705"/>
      <c r="U24" s="705">
        <f t="shared" si="2"/>
        <v>1743.1544999999999</v>
      </c>
      <c r="V24" s="705"/>
      <c r="W24" s="710">
        <f t="shared" si="3"/>
        <v>19174.699499999999</v>
      </c>
    </row>
    <row r="25" spans="2:33" s="19" customFormat="1" ht="12" customHeight="1">
      <c r="B25" s="715">
        <v>9</v>
      </c>
      <c r="C25" s="715" t="s">
        <v>298</v>
      </c>
      <c r="D25" s="790" t="s">
        <v>366</v>
      </c>
      <c r="E25" s="715"/>
      <c r="F25" s="715" t="s">
        <v>425</v>
      </c>
      <c r="G25" s="715" t="s">
        <v>584</v>
      </c>
      <c r="H25" s="39" t="s">
        <v>665</v>
      </c>
      <c r="I25" s="71" t="s">
        <v>355</v>
      </c>
      <c r="J25" s="715">
        <v>17697</v>
      </c>
      <c r="K25" s="715">
        <v>3.53</v>
      </c>
      <c r="L25" s="705">
        <f t="shared" si="0"/>
        <v>62470.409999999996</v>
      </c>
      <c r="M25" s="716">
        <v>18</v>
      </c>
      <c r="N25" s="717">
        <v>20</v>
      </c>
      <c r="O25" s="717"/>
      <c r="P25" s="715"/>
      <c r="Q25" s="715"/>
      <c r="R25" s="39">
        <v>0.5</v>
      </c>
      <c r="S25" s="705">
        <f t="shared" si="4"/>
        <v>31235.204999999998</v>
      </c>
      <c r="T25" s="705"/>
      <c r="U25" s="705">
        <f t="shared" si="2"/>
        <v>3123.5205000000001</v>
      </c>
      <c r="V25" s="705"/>
      <c r="W25" s="710">
        <f t="shared" si="3"/>
        <v>34358.7255</v>
      </c>
      <c r="X25" s="718"/>
      <c r="Y25" s="718"/>
    </row>
    <row r="26" spans="2:33" s="485" customFormat="1" ht="12" customHeight="1">
      <c r="B26" s="720" t="s">
        <v>302</v>
      </c>
      <c r="C26" s="720" t="s">
        <v>302</v>
      </c>
      <c r="D26" s="720" t="s">
        <v>302</v>
      </c>
      <c r="E26" s="720"/>
      <c r="F26" s="720"/>
      <c r="G26" s="720" t="s">
        <v>302</v>
      </c>
      <c r="H26" s="720" t="s">
        <v>302</v>
      </c>
      <c r="I26" s="721" t="s">
        <v>302</v>
      </c>
      <c r="J26" s="720" t="s">
        <v>302</v>
      </c>
      <c r="K26" s="720" t="s">
        <v>302</v>
      </c>
      <c r="L26" s="483">
        <f>SUM(L17:L25)</f>
        <v>652842.63</v>
      </c>
      <c r="M26" s="482">
        <v>18</v>
      </c>
      <c r="N26" s="482">
        <v>20</v>
      </c>
      <c r="O26" s="482"/>
      <c r="P26" s="702">
        <f>SUM(P17:P25)</f>
        <v>2655</v>
      </c>
      <c r="Q26" s="702">
        <f t="shared" ref="Q26:W26" si="5">SUM(Q17:Q25)</f>
        <v>7079</v>
      </c>
      <c r="R26" s="702">
        <f t="shared" si="5"/>
        <v>5.5</v>
      </c>
      <c r="S26" s="702">
        <f t="shared" si="5"/>
        <v>406500.39</v>
      </c>
      <c r="T26" s="702">
        <f t="shared" si="5"/>
        <v>84967.796249999999</v>
      </c>
      <c r="U26" s="702">
        <f t="shared" si="5"/>
        <v>49146.818624999993</v>
      </c>
      <c r="V26" s="702">
        <f t="shared" si="5"/>
        <v>0</v>
      </c>
      <c r="W26" s="702">
        <f t="shared" si="5"/>
        <v>550349.00487499987</v>
      </c>
      <c r="X26" s="484"/>
      <c r="Y26" s="484"/>
    </row>
    <row r="27" spans="2:33" s="834" customFormat="1" ht="17.25" customHeight="1">
      <c r="B27" s="837"/>
      <c r="C27" s="335" t="s">
        <v>303</v>
      </c>
      <c r="D27" s="335"/>
      <c r="E27" s="335"/>
      <c r="F27" s="902"/>
      <c r="G27" s="902"/>
      <c r="H27" s="335" t="s">
        <v>603</v>
      </c>
      <c r="I27" s="335"/>
      <c r="J27" s="903"/>
      <c r="K27" s="738"/>
      <c r="L27" s="837"/>
      <c r="M27" s="837"/>
      <c r="N27" s="837"/>
      <c r="O27" s="837"/>
      <c r="P27" s="837"/>
      <c r="Q27" s="837"/>
      <c r="R27" s="894"/>
      <c r="S27" s="895"/>
      <c r="T27" s="837"/>
      <c r="U27" s="837"/>
      <c r="V27" s="837"/>
      <c r="W27" s="896"/>
      <c r="X27" s="897"/>
      <c r="Y27" s="897"/>
      <c r="Z27" s="898"/>
      <c r="AA27" s="898"/>
      <c r="AB27" s="898"/>
      <c r="AC27" s="898"/>
      <c r="AD27" s="898"/>
      <c r="AE27" s="837"/>
      <c r="AF27" s="837"/>
      <c r="AG27" s="837"/>
    </row>
    <row r="28" spans="2:33" s="834" customFormat="1" hidden="1">
      <c r="B28" s="837"/>
      <c r="C28" s="335"/>
      <c r="D28" s="335"/>
      <c r="E28" s="335"/>
      <c r="F28" s="902"/>
      <c r="G28" s="902"/>
      <c r="H28" s="335"/>
      <c r="I28" s="335"/>
      <c r="J28" s="335"/>
      <c r="K28" s="226"/>
      <c r="L28" s="837"/>
      <c r="M28" s="837"/>
      <c r="N28" s="837"/>
      <c r="O28" s="837"/>
      <c r="P28" s="837"/>
      <c r="Q28" s="837"/>
      <c r="R28" s="894"/>
      <c r="S28" s="837"/>
      <c r="T28" s="837"/>
      <c r="U28" s="837"/>
      <c r="V28" s="837"/>
      <c r="W28" s="894"/>
      <c r="X28" s="897"/>
      <c r="Y28" s="897"/>
      <c r="Z28" s="898"/>
      <c r="AA28" s="898"/>
      <c r="AB28" s="898"/>
      <c r="AC28" s="898"/>
      <c r="AD28" s="898"/>
      <c r="AE28" s="837"/>
      <c r="AF28" s="837"/>
      <c r="AG28" s="837"/>
    </row>
    <row r="29" spans="2:33" s="834" customFormat="1">
      <c r="B29" s="837"/>
      <c r="C29" s="335" t="s">
        <v>474</v>
      </c>
      <c r="D29" s="335"/>
      <c r="E29" s="335"/>
      <c r="F29" s="902"/>
      <c r="G29" s="902"/>
      <c r="H29" s="335" t="s">
        <v>595</v>
      </c>
      <c r="I29" s="335"/>
      <c r="J29" s="335"/>
      <c r="K29" s="226"/>
      <c r="L29" s="59"/>
      <c r="M29" s="33"/>
      <c r="N29" s="33"/>
      <c r="O29" s="33"/>
      <c r="P29" s="837"/>
      <c r="Q29" s="837"/>
      <c r="R29" s="894"/>
      <c r="S29" s="837"/>
      <c r="T29" s="837"/>
      <c r="U29" s="837"/>
      <c r="V29" s="837"/>
      <c r="W29" s="896"/>
      <c r="X29" s="898"/>
      <c r="Y29" s="898"/>
      <c r="Z29" s="898"/>
      <c r="AA29" s="898"/>
      <c r="AB29" s="898"/>
      <c r="AC29" s="898"/>
      <c r="AD29" s="898"/>
      <c r="AE29" s="837"/>
      <c r="AF29" s="837"/>
      <c r="AG29" s="837"/>
    </row>
    <row r="30" spans="2:33" s="834" customFormat="1">
      <c r="B30" s="837"/>
      <c r="C30" s="335" t="s">
        <v>572</v>
      </c>
      <c r="D30" s="335"/>
      <c r="E30" s="335"/>
      <c r="F30" s="902"/>
      <c r="G30" s="902"/>
      <c r="H30" s="335" t="s">
        <v>610</v>
      </c>
      <c r="I30" s="335"/>
      <c r="J30" s="335"/>
      <c r="K30" s="226"/>
      <c r="L30" s="59"/>
      <c r="M30" s="33"/>
      <c r="N30" s="33"/>
      <c r="O30" s="33"/>
      <c r="P30" s="837"/>
      <c r="Q30" s="837"/>
      <c r="R30" s="894"/>
      <c r="S30" s="837"/>
      <c r="T30" s="837"/>
      <c r="U30" s="837"/>
      <c r="V30" s="837"/>
      <c r="W30" s="894"/>
      <c r="X30" s="898"/>
      <c r="Y30" s="898"/>
      <c r="Z30" s="898"/>
      <c r="AA30" s="898"/>
      <c r="AB30" s="898"/>
      <c r="AC30" s="898"/>
      <c r="AD30" s="898"/>
      <c r="AE30" s="837"/>
      <c r="AF30" s="837"/>
      <c r="AG30" s="837"/>
    </row>
    <row r="31" spans="2:33" s="834" customFormat="1">
      <c r="B31" s="837"/>
      <c r="C31" s="226"/>
      <c r="D31" s="226"/>
      <c r="E31" s="226"/>
      <c r="F31" s="893"/>
      <c r="G31" s="893"/>
      <c r="H31" s="226"/>
      <c r="I31" s="226"/>
      <c r="J31" s="226"/>
      <c r="K31" s="226"/>
      <c r="L31" s="59"/>
      <c r="M31" s="33"/>
      <c r="N31" s="33"/>
      <c r="O31" s="33"/>
      <c r="P31" s="837"/>
      <c r="Q31" s="837"/>
      <c r="R31" s="894"/>
      <c r="S31" s="837"/>
      <c r="T31" s="837"/>
      <c r="U31" s="837"/>
      <c r="V31" s="895"/>
      <c r="W31" s="894"/>
      <c r="X31" s="898"/>
      <c r="Y31" s="898"/>
      <c r="Z31" s="898"/>
      <c r="AA31" s="898"/>
      <c r="AB31" s="898"/>
      <c r="AC31" s="898"/>
      <c r="AD31" s="898"/>
      <c r="AE31" s="837"/>
      <c r="AF31" s="837"/>
      <c r="AG31" s="837"/>
    </row>
    <row r="32" spans="2:33" s="834" customFormat="1"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33"/>
      <c r="M32" s="33"/>
      <c r="N32" s="33"/>
      <c r="O32" s="899"/>
      <c r="P32" s="837"/>
      <c r="Q32" s="837"/>
      <c r="R32" s="894"/>
      <c r="S32" s="837"/>
      <c r="T32" s="837"/>
      <c r="U32" s="837"/>
      <c r="V32" s="837"/>
      <c r="W32" s="894"/>
      <c r="X32" s="898"/>
      <c r="Y32" s="898"/>
      <c r="Z32" s="898"/>
      <c r="AA32" s="898"/>
      <c r="AB32" s="898"/>
      <c r="AC32" s="898"/>
      <c r="AD32" s="898"/>
      <c r="AE32" s="837"/>
      <c r="AF32" s="837"/>
      <c r="AG32" s="837"/>
    </row>
    <row r="33" spans="2:33" s="834" customFormat="1">
      <c r="B33" s="837"/>
      <c r="C33" s="226"/>
      <c r="D33" s="226"/>
      <c r="E33" s="226"/>
      <c r="F33" s="893"/>
      <c r="G33" s="893"/>
      <c r="H33" s="226"/>
      <c r="I33" s="226"/>
      <c r="J33" s="226"/>
      <c r="K33" s="226"/>
      <c r="L33" s="33"/>
      <c r="M33" s="33"/>
      <c r="N33" s="33"/>
      <c r="O33" s="33"/>
      <c r="P33" s="837"/>
      <c r="Q33" s="837"/>
      <c r="R33" s="894"/>
      <c r="S33" s="837"/>
      <c r="T33" s="837"/>
      <c r="U33" s="837"/>
      <c r="V33" s="837"/>
      <c r="W33" s="894"/>
      <c r="X33" s="898"/>
      <c r="Y33" s="898"/>
      <c r="Z33" s="898"/>
      <c r="AA33" s="898"/>
      <c r="AB33" s="898"/>
      <c r="AC33" s="898"/>
      <c r="AD33" s="898"/>
      <c r="AE33" s="837"/>
      <c r="AF33" s="837"/>
      <c r="AG33" s="837"/>
    </row>
    <row r="34" spans="2:33" s="834" customFormat="1" ht="9.75">
      <c r="B34" s="837"/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94"/>
      <c r="S34" s="837"/>
      <c r="T34" s="837"/>
      <c r="U34" s="837"/>
      <c r="V34" s="837"/>
      <c r="W34" s="894"/>
      <c r="X34" s="898"/>
      <c r="Y34" s="898"/>
      <c r="Z34" s="898"/>
      <c r="AA34" s="898"/>
      <c r="AB34" s="898"/>
      <c r="AC34" s="898"/>
      <c r="AD34" s="898"/>
      <c r="AE34" s="837"/>
      <c r="AF34" s="837"/>
      <c r="AG34" s="837"/>
    </row>
    <row r="35" spans="2:33" s="834" customFormat="1" ht="9.75">
      <c r="R35" s="900"/>
      <c r="W35" s="900"/>
      <c r="X35" s="19"/>
      <c r="Y35" s="19"/>
      <c r="Z35" s="19"/>
      <c r="AA35" s="19"/>
      <c r="AB35" s="19"/>
      <c r="AC35" s="19"/>
      <c r="AD35" s="19"/>
    </row>
    <row r="36" spans="2:33" s="834" customFormat="1" ht="9.75">
      <c r="R36" s="900"/>
      <c r="W36" s="900"/>
      <c r="X36" s="19"/>
      <c r="Y36" s="19"/>
      <c r="Z36" s="19"/>
      <c r="AA36" s="19"/>
      <c r="AB36" s="19"/>
      <c r="AC36" s="19"/>
      <c r="AD36" s="19"/>
    </row>
    <row r="37" spans="2:33" s="834" customFormat="1" ht="9.75">
      <c r="R37" s="900"/>
      <c r="W37" s="900"/>
      <c r="X37" s="19"/>
      <c r="Y37" s="19"/>
      <c r="Z37" s="19"/>
      <c r="AA37" s="19"/>
      <c r="AB37" s="19"/>
      <c r="AC37" s="19"/>
      <c r="AD37" s="19"/>
    </row>
    <row r="38" spans="2:33" s="834" customFormat="1" ht="9.75">
      <c r="R38" s="900"/>
      <c r="W38" s="900"/>
      <c r="X38" s="19"/>
      <c r="Y38" s="19"/>
      <c r="Z38" s="19"/>
      <c r="AA38" s="19"/>
      <c r="AB38" s="19"/>
      <c r="AC38" s="19"/>
      <c r="AD38" s="19"/>
    </row>
    <row r="39" spans="2:33" ht="9.75">
      <c r="B39" s="2"/>
      <c r="C39" s="2"/>
      <c r="P39" s="110"/>
      <c r="Q39" s="110"/>
      <c r="R39" s="111"/>
      <c r="S39" s="110"/>
      <c r="T39" s="110"/>
      <c r="U39" s="110"/>
      <c r="V39" s="110"/>
      <c r="W39" s="111"/>
    </row>
    <row r="40" spans="2:33" ht="9.75">
      <c r="B40" s="2"/>
      <c r="C40" s="2"/>
      <c r="P40" s="110"/>
      <c r="Q40" s="110"/>
      <c r="R40" s="111"/>
      <c r="S40" s="110"/>
      <c r="T40" s="110"/>
      <c r="U40" s="110"/>
      <c r="V40" s="110"/>
      <c r="W40" s="111"/>
    </row>
    <row r="41" spans="2:33" ht="9.75">
      <c r="P41" s="110"/>
      <c r="Q41" s="110"/>
      <c r="R41" s="111"/>
      <c r="S41" s="110"/>
      <c r="T41" s="110"/>
      <c r="U41" s="110"/>
      <c r="V41" s="110"/>
      <c r="W41" s="111"/>
    </row>
  </sheetData>
  <mergeCells count="15">
    <mergeCell ref="I7:W7"/>
    <mergeCell ref="F9:T9"/>
    <mergeCell ref="H10:W10"/>
    <mergeCell ref="S14:S16"/>
    <mergeCell ref="R14:R16"/>
    <mergeCell ref="T14:T16"/>
    <mergeCell ref="U14:U16"/>
    <mergeCell ref="V14:V16"/>
    <mergeCell ref="W14:W16"/>
    <mergeCell ref="Q14:Q16"/>
    <mergeCell ref="C14:C16"/>
    <mergeCell ref="D14:D16"/>
    <mergeCell ref="K14:K16"/>
    <mergeCell ref="O14:O16"/>
    <mergeCell ref="P14:P16"/>
  </mergeCells>
  <pageMargins left="0.82677165354330717" right="0.23622047244094491" top="1.1811023622047245" bottom="0.98425196850393704" header="0.51181102362204722" footer="0.51181102362204722"/>
  <pageSetup paperSize="9" scale="10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бур</vt:lpstr>
      <vt:lpstr>дамды 13г</vt:lpstr>
      <vt:lpstr>наур</vt:lpstr>
      <vt:lpstr>Улен</vt:lpstr>
      <vt:lpstr>ахп (на 1 сен) (стар)</vt:lpstr>
      <vt:lpstr>ахп нов (на 1 сен)</vt:lpstr>
      <vt:lpstr>шил</vt:lpstr>
      <vt:lpstr>ауп  (на 1 сен) (стар)</vt:lpstr>
      <vt:lpstr>ауп нов (на 1 сен)нов.</vt:lpstr>
      <vt:lpstr>шили 2019 (на 1 сен) (стар)</vt:lpstr>
      <vt:lpstr>шили 2019 (на 1 сен)новый </vt:lpstr>
      <vt:lpstr>'ауп  (на 1 сен) (стар)'!Область_печати</vt:lpstr>
      <vt:lpstr>'ауп нов (на 1 сен)нов.'!Область_печати</vt:lpstr>
      <vt:lpstr>'ахп (на 1 сен) (стар)'!Область_печати</vt:lpstr>
      <vt:lpstr>'ахп нов (на 1 сен)'!Область_печати</vt:lpstr>
      <vt:lpstr>Улен!Область_печати</vt:lpstr>
      <vt:lpstr>шил!Область_печати</vt:lpstr>
      <vt:lpstr>'шили 2019 (на 1 сен) (стар)'!Область_печати</vt:lpstr>
      <vt:lpstr>'шили 2019 (на 1 сен)новый '!Область_печати</vt:lpstr>
    </vt:vector>
  </TitlesOfParts>
  <Company>РОО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Ерден</dc:creator>
  <cp:lastModifiedBy>XTreme.ws</cp:lastModifiedBy>
  <cp:lastPrinted>2019-09-09T11:42:26Z</cp:lastPrinted>
  <dcterms:created xsi:type="dcterms:W3CDTF">2011-09-16T10:53:11Z</dcterms:created>
  <dcterms:modified xsi:type="dcterms:W3CDTF">2019-10-17T13:55:44Z</dcterms:modified>
</cp:coreProperties>
</file>