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3600" firstSheet="8" activeTab="13"/>
  </bookViews>
  <sheets>
    <sheet name="учителя " sheetId="11" r:id="rId1"/>
    <sheet name="учителя новый" sheetId="1" r:id="rId2"/>
    <sheet name="осноной перс" sheetId="2" r:id="rId3"/>
    <sheet name="осноной перс (новый)" sheetId="12" r:id="rId4"/>
    <sheet name="воспитателей" sheetId="3" r:id="rId5"/>
    <sheet name="воспитателей (новый)" sheetId="13" r:id="rId6"/>
    <sheet name="управлен перс" sheetId="4" r:id="rId7"/>
    <sheet name="управлен перс (новый)" sheetId="14" r:id="rId8"/>
    <sheet name="админ перс" sheetId="5" r:id="rId9"/>
    <sheet name="админ перс (новый)" sheetId="15" r:id="rId10"/>
    <sheet name="вспомаг п" sheetId="6" r:id="rId11"/>
    <sheet name="вспомаг п (новый)" sheetId="16" r:id="rId12"/>
    <sheet name="СВОД тех пер  (новый)" sheetId="17" r:id="rId13"/>
    <sheet name="СВОД тех пер " sheetId="7" r:id="rId14"/>
  </sheets>
  <definedNames>
    <definedName name="_xlnm.Print_Area" localSheetId="4">воспитателей!$A$1:$N$27</definedName>
    <definedName name="_xlnm.Print_Area" localSheetId="5">'воспитателей (новый)'!$A$1:$N$27</definedName>
    <definedName name="_xlnm.Print_Area" localSheetId="2">'осноной перс'!$A$1:$U$26</definedName>
    <definedName name="_xlnm.Print_Area" localSheetId="3">'осноной перс (новый)'!$A$1:$U$26</definedName>
    <definedName name="_xlnm.Print_Area" localSheetId="13">'СВОД тех пер '!$A$1:$AK$25</definedName>
    <definedName name="_xlnm.Print_Area" localSheetId="0">'учителя '!$A$1:$W$30</definedName>
    <definedName name="_xlnm.Print_Area" localSheetId="1">'учителя новый'!$A$1:$AP$30</definedName>
  </definedNames>
  <calcPr calcId="124519"/>
</workbook>
</file>

<file path=xl/calcChain.xml><?xml version="1.0" encoding="utf-8"?>
<calcChain xmlns="http://schemas.openxmlformats.org/spreadsheetml/2006/main">
  <c r="C21" i="7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B21"/>
  <c r="G18"/>
  <c r="B21" i="6"/>
  <c r="O21" i="5"/>
  <c r="D22" i="4"/>
  <c r="E22"/>
  <c r="F22"/>
  <c r="G22"/>
  <c r="H22"/>
  <c r="I22"/>
  <c r="J22"/>
  <c r="K22"/>
  <c r="L22"/>
  <c r="M22"/>
  <c r="N22"/>
  <c r="O22"/>
  <c r="P22"/>
  <c r="Q22"/>
  <c r="C22"/>
  <c r="E22" i="3"/>
  <c r="F22"/>
  <c r="G22"/>
  <c r="H22"/>
  <c r="I22"/>
  <c r="J22"/>
  <c r="K22"/>
  <c r="L22"/>
  <c r="M22"/>
  <c r="D22"/>
  <c r="D22" i="2"/>
  <c r="E22"/>
  <c r="F22"/>
  <c r="G22"/>
  <c r="H22"/>
  <c r="I22"/>
  <c r="J22"/>
  <c r="K22"/>
  <c r="L22"/>
  <c r="M22"/>
  <c r="N22"/>
  <c r="O22"/>
  <c r="P22"/>
  <c r="Q22"/>
  <c r="R22"/>
  <c r="S22"/>
  <c r="T22"/>
  <c r="U22"/>
  <c r="C22"/>
  <c r="V15" i="11"/>
  <c r="V16"/>
  <c r="V17"/>
  <c r="V18"/>
  <c r="V19"/>
  <c r="V20"/>
  <c r="V21"/>
  <c r="V22"/>
  <c r="V23"/>
  <c r="V14"/>
  <c r="T14" i="12" l="1"/>
  <c r="T15"/>
  <c r="T16"/>
  <c r="T19"/>
  <c r="T20"/>
  <c r="T21"/>
  <c r="T19" i="2"/>
  <c r="T20"/>
  <c r="T21"/>
  <c r="S18"/>
  <c r="T18"/>
  <c r="Q18"/>
  <c r="J16" i="14"/>
  <c r="H15" i="13"/>
  <c r="Q15" i="12"/>
  <c r="H15" i="3"/>
  <c r="Q15" i="2"/>
  <c r="L14" i="5"/>
  <c r="L20" i="13"/>
  <c r="AK15" i="1"/>
  <c r="AK16"/>
  <c r="AK17"/>
  <c r="AK18"/>
  <c r="AK19"/>
  <c r="AK20"/>
  <c r="AK21"/>
  <c r="AK22"/>
  <c r="AK23"/>
  <c r="AK14"/>
  <c r="AH15"/>
  <c r="AH16"/>
  <c r="AH17"/>
  <c r="AH18"/>
  <c r="AH19"/>
  <c r="AH20"/>
  <c r="AH21"/>
  <c r="AH22"/>
  <c r="AH23"/>
  <c r="AH14"/>
  <c r="AE15"/>
  <c r="AE16"/>
  <c r="AE17"/>
  <c r="AE18"/>
  <c r="AE19"/>
  <c r="AE20"/>
  <c r="AE21"/>
  <c r="AE22"/>
  <c r="AE23"/>
  <c r="AE14"/>
  <c r="AB15"/>
  <c r="AB16"/>
  <c r="AB17"/>
  <c r="AB18"/>
  <c r="AB19"/>
  <c r="AB20"/>
  <c r="AB21"/>
  <c r="AB22"/>
  <c r="AB23"/>
  <c r="AB14"/>
  <c r="Y15"/>
  <c r="Y16"/>
  <c r="Y17"/>
  <c r="Y18"/>
  <c r="Y19"/>
  <c r="Y20"/>
  <c r="Y21"/>
  <c r="Y22"/>
  <c r="Y23"/>
  <c r="Y14"/>
  <c r="H20" i="13" l="1"/>
  <c r="L14" i="3"/>
  <c r="L20"/>
  <c r="L21"/>
  <c r="J22" i="13"/>
  <c r="L14"/>
  <c r="L21"/>
  <c r="AL24" i="1"/>
  <c r="AK24" s="1"/>
  <c r="AM24"/>
  <c r="AN24"/>
  <c r="AO24"/>
  <c r="AP24"/>
  <c r="Z24"/>
  <c r="AA24"/>
  <c r="AB24"/>
  <c r="AC24"/>
  <c r="AD24"/>
  <c r="AE24"/>
  <c r="AF24"/>
  <c r="AG24"/>
  <c r="AH24"/>
  <c r="AI24"/>
  <c r="AJ24"/>
  <c r="Y24"/>
  <c r="V16"/>
  <c r="V23" l="1"/>
  <c r="Q21" i="2"/>
  <c r="Q24" i="11" l="1"/>
  <c r="G12" i="17"/>
  <c r="G13"/>
  <c r="G14"/>
  <c r="G15"/>
  <c r="G16"/>
  <c r="G17"/>
  <c r="G18"/>
  <c r="G19"/>
  <c r="G20"/>
  <c r="G11"/>
  <c r="S32"/>
  <c r="Q32"/>
  <c r="M32"/>
  <c r="AE21"/>
  <c r="K31" s="1"/>
  <c r="AA21"/>
  <c r="Y21"/>
  <c r="W21"/>
  <c r="U21"/>
  <c r="S21"/>
  <c r="K29" s="1"/>
  <c r="Q21"/>
  <c r="P21"/>
  <c r="O28" s="1"/>
  <c r="O21"/>
  <c r="N28" s="1"/>
  <c r="M21"/>
  <c r="L21"/>
  <c r="O30" s="1"/>
  <c r="K21"/>
  <c r="N30" s="1"/>
  <c r="I21"/>
  <c r="K30" s="1"/>
  <c r="H21"/>
  <c r="P28" s="1"/>
  <c r="P32" s="1"/>
  <c r="B21"/>
  <c r="AF20"/>
  <c r="AB20"/>
  <c r="AC20" s="1"/>
  <c r="AG20" s="1"/>
  <c r="Z20"/>
  <c r="X20"/>
  <c r="T20"/>
  <c r="R20"/>
  <c r="N20"/>
  <c r="J20"/>
  <c r="AF19"/>
  <c r="AB19"/>
  <c r="AC19" s="1"/>
  <c r="Z19"/>
  <c r="X19"/>
  <c r="T19"/>
  <c r="R19"/>
  <c r="N19"/>
  <c r="J19"/>
  <c r="AF18"/>
  <c r="AB18"/>
  <c r="AC18" s="1"/>
  <c r="Z18"/>
  <c r="X18"/>
  <c r="T18"/>
  <c r="R18"/>
  <c r="N18"/>
  <c r="J18"/>
  <c r="AG17"/>
  <c r="AF17"/>
  <c r="AD17"/>
  <c r="AB17"/>
  <c r="Z17"/>
  <c r="X17"/>
  <c r="V17"/>
  <c r="V21" s="1"/>
  <c r="T17"/>
  <c r="R17"/>
  <c r="N17"/>
  <c r="J17"/>
  <c r="AF16"/>
  <c r="AC16"/>
  <c r="AG16" s="1"/>
  <c r="AB16"/>
  <c r="Z16"/>
  <c r="X16"/>
  <c r="T16"/>
  <c r="R16"/>
  <c r="N16"/>
  <c r="J16"/>
  <c r="AF15"/>
  <c r="AB15"/>
  <c r="AC15" s="1"/>
  <c r="Z15"/>
  <c r="X15"/>
  <c r="T15"/>
  <c r="R15"/>
  <c r="N15"/>
  <c r="J15"/>
  <c r="AG14"/>
  <c r="AF14"/>
  <c r="AD14"/>
  <c r="AB14"/>
  <c r="Z14"/>
  <c r="X14"/>
  <c r="T14"/>
  <c r="R14"/>
  <c r="N14"/>
  <c r="J14"/>
  <c r="AH14"/>
  <c r="AF13"/>
  <c r="AB13"/>
  <c r="AC13" s="1"/>
  <c r="Z13"/>
  <c r="X13"/>
  <c r="T13"/>
  <c r="R13"/>
  <c r="N13"/>
  <c r="J13"/>
  <c r="AG12"/>
  <c r="AF12"/>
  <c r="AD12"/>
  <c r="AB12"/>
  <c r="Z12"/>
  <c r="X12"/>
  <c r="T12"/>
  <c r="R12"/>
  <c r="N12"/>
  <c r="J12"/>
  <c r="AF11"/>
  <c r="AF21" s="1"/>
  <c r="L31" s="1"/>
  <c r="AB11"/>
  <c r="AB21" s="1"/>
  <c r="Z11"/>
  <c r="Z21" s="1"/>
  <c r="X11"/>
  <c r="X21" s="1"/>
  <c r="T11"/>
  <c r="T21" s="1"/>
  <c r="L29" s="1"/>
  <c r="R11"/>
  <c r="R21" s="1"/>
  <c r="N11"/>
  <c r="J11"/>
  <c r="J21" s="1"/>
  <c r="L30" s="1"/>
  <c r="G21" i="16"/>
  <c r="F21"/>
  <c r="E21"/>
  <c r="D21"/>
  <c r="C21"/>
  <c r="B21"/>
  <c r="I20"/>
  <c r="J20" s="1"/>
  <c r="K20" s="1"/>
  <c r="H20"/>
  <c r="I19"/>
  <c r="J19" s="1"/>
  <c r="K19" s="1"/>
  <c r="H19"/>
  <c r="J18"/>
  <c r="K18" s="1"/>
  <c r="I18"/>
  <c r="H18"/>
  <c r="I17"/>
  <c r="J17" s="1"/>
  <c r="K17" s="1"/>
  <c r="H17"/>
  <c r="I16"/>
  <c r="J16" s="1"/>
  <c r="K16" s="1"/>
  <c r="H16"/>
  <c r="I15"/>
  <c r="J15" s="1"/>
  <c r="K15" s="1"/>
  <c r="H15"/>
  <c r="J14"/>
  <c r="K14" s="1"/>
  <c r="I14"/>
  <c r="H14"/>
  <c r="I13"/>
  <c r="J13" s="1"/>
  <c r="K13" s="1"/>
  <c r="H13"/>
  <c r="I12"/>
  <c r="J12" s="1"/>
  <c r="K12" s="1"/>
  <c r="H12"/>
  <c r="J11"/>
  <c r="I11"/>
  <c r="H11"/>
  <c r="K21" i="15"/>
  <c r="J21"/>
  <c r="I21"/>
  <c r="H21"/>
  <c r="G21"/>
  <c r="F21"/>
  <c r="E21"/>
  <c r="D21"/>
  <c r="C21"/>
  <c r="B21"/>
  <c r="N20"/>
  <c r="L20"/>
  <c r="N19"/>
  <c r="L19"/>
  <c r="N18"/>
  <c r="L18"/>
  <c r="M18" s="1"/>
  <c r="N17"/>
  <c r="L17"/>
  <c r="N16"/>
  <c r="L16"/>
  <c r="M16" s="1"/>
  <c r="O16" s="1"/>
  <c r="P16" s="1"/>
  <c r="N15"/>
  <c r="L15"/>
  <c r="N14"/>
  <c r="M14"/>
  <c r="O14" s="1"/>
  <c r="P14" s="1"/>
  <c r="L14"/>
  <c r="N13"/>
  <c r="L13"/>
  <c r="N12"/>
  <c r="L12"/>
  <c r="M12" s="1"/>
  <c r="O12" s="1"/>
  <c r="P12" s="1"/>
  <c r="N11"/>
  <c r="L11"/>
  <c r="L22" i="14"/>
  <c r="K22"/>
  <c r="I22"/>
  <c r="H22"/>
  <c r="G22"/>
  <c r="F22"/>
  <c r="D22"/>
  <c r="C22"/>
  <c r="B22"/>
  <c r="O21"/>
  <c r="M21"/>
  <c r="J21"/>
  <c r="E21"/>
  <c r="O20"/>
  <c r="M20"/>
  <c r="J20"/>
  <c r="E20"/>
  <c r="O19"/>
  <c r="M19"/>
  <c r="J19"/>
  <c r="E19"/>
  <c r="O18"/>
  <c r="M18"/>
  <c r="J18"/>
  <c r="E18"/>
  <c r="O17"/>
  <c r="M17"/>
  <c r="J17"/>
  <c r="E17"/>
  <c r="O16"/>
  <c r="M16"/>
  <c r="E16"/>
  <c r="O15"/>
  <c r="M15"/>
  <c r="J15"/>
  <c r="E15"/>
  <c r="O14"/>
  <c r="M14"/>
  <c r="J14"/>
  <c r="E14"/>
  <c r="O13"/>
  <c r="M13"/>
  <c r="J13"/>
  <c r="E13"/>
  <c r="O12"/>
  <c r="M12"/>
  <c r="J12"/>
  <c r="J22" s="1"/>
  <c r="E12"/>
  <c r="E22" l="1"/>
  <c r="M22"/>
  <c r="O18" i="15"/>
  <c r="P18" s="1"/>
  <c r="I21" i="16"/>
  <c r="H21"/>
  <c r="N21" i="15"/>
  <c r="O22" i="14"/>
  <c r="G21" i="17"/>
  <c r="N21"/>
  <c r="R29"/>
  <c r="T29" s="1"/>
  <c r="R31"/>
  <c r="T31" s="1"/>
  <c r="AG18"/>
  <c r="AD18"/>
  <c r="O32"/>
  <c r="R30"/>
  <c r="T30" s="1"/>
  <c r="AG13"/>
  <c r="AD13"/>
  <c r="AH13" s="1"/>
  <c r="AI13" s="1"/>
  <c r="AJ13" s="1"/>
  <c r="AG15"/>
  <c r="AD15"/>
  <c r="AG19"/>
  <c r="AD19"/>
  <c r="AH18"/>
  <c r="N32"/>
  <c r="AC11"/>
  <c r="AH12"/>
  <c r="AI12" s="1"/>
  <c r="AJ12" s="1"/>
  <c r="AI14"/>
  <c r="AJ14" s="1"/>
  <c r="AH15"/>
  <c r="AD16"/>
  <c r="AH16" s="1"/>
  <c r="AI16" s="1"/>
  <c r="AJ16" s="1"/>
  <c r="AH17"/>
  <c r="AI17" s="1"/>
  <c r="AJ17" s="1"/>
  <c r="AI18"/>
  <c r="AJ18" s="1"/>
  <c r="AH19"/>
  <c r="AD20"/>
  <c r="AH20" s="1"/>
  <c r="J21" i="16"/>
  <c r="K11"/>
  <c r="K21" s="1"/>
  <c r="M20" i="15"/>
  <c r="O20" s="1"/>
  <c r="P20" s="1"/>
  <c r="L21"/>
  <c r="M11"/>
  <c r="M13"/>
  <c r="O13" s="1"/>
  <c r="P13" s="1"/>
  <c r="M15"/>
  <c r="O15" s="1"/>
  <c r="P15" s="1"/>
  <c r="M17"/>
  <c r="O17" s="1"/>
  <c r="P17" s="1"/>
  <c r="M19"/>
  <c r="O19" s="1"/>
  <c r="P19" s="1"/>
  <c r="N12" i="14"/>
  <c r="P12" s="1"/>
  <c r="N14"/>
  <c r="P14" s="1"/>
  <c r="Q14" s="1"/>
  <c r="N16"/>
  <c r="P16" s="1"/>
  <c r="Q16" s="1"/>
  <c r="N18"/>
  <c r="P18" s="1"/>
  <c r="Q18" s="1"/>
  <c r="N20"/>
  <c r="P20" s="1"/>
  <c r="Q20" s="1"/>
  <c r="N13"/>
  <c r="P13" s="1"/>
  <c r="Q13" s="1"/>
  <c r="N15"/>
  <c r="P15" s="1"/>
  <c r="Q15" s="1"/>
  <c r="N17"/>
  <c r="P17" s="1"/>
  <c r="Q17" s="1"/>
  <c r="N19"/>
  <c r="P19" s="1"/>
  <c r="Q19" s="1"/>
  <c r="N21"/>
  <c r="P21" s="1"/>
  <c r="Q21" s="1"/>
  <c r="AI19" i="17" l="1"/>
  <c r="AJ19" s="1"/>
  <c r="AI15"/>
  <c r="AJ15" s="1"/>
  <c r="AC21"/>
  <c r="K28" s="1"/>
  <c r="AG11"/>
  <c r="AG21" s="1"/>
  <c r="AD11"/>
  <c r="AI20"/>
  <c r="AJ20" s="1"/>
  <c r="M21" i="15"/>
  <c r="O11"/>
  <c r="P22" i="14"/>
  <c r="Q12"/>
  <c r="Q22" s="1"/>
  <c r="N22"/>
  <c r="AD21" i="17" l="1"/>
  <c r="L28" s="1"/>
  <c r="AH11"/>
  <c r="AH21" s="1"/>
  <c r="AI11"/>
  <c r="O21" i="15"/>
  <c r="P11"/>
  <c r="P21" s="1"/>
  <c r="AI21" i="17" l="1"/>
  <c r="AJ11"/>
  <c r="AJ21" s="1"/>
  <c r="L32"/>
  <c r="R28"/>
  <c r="R32" s="1"/>
  <c r="T28" l="1"/>
  <c r="T32" s="1"/>
  <c r="Q24" i="1"/>
  <c r="R24"/>
  <c r="D24" l="1"/>
  <c r="G22" i="13" l="1"/>
  <c r="E22"/>
  <c r="D22"/>
  <c r="I21"/>
  <c r="H21"/>
  <c r="I20"/>
  <c r="K20"/>
  <c r="I19"/>
  <c r="H19"/>
  <c r="I18"/>
  <c r="H18"/>
  <c r="I17"/>
  <c r="H17"/>
  <c r="I16"/>
  <c r="H16"/>
  <c r="I15"/>
  <c r="I14"/>
  <c r="H14"/>
  <c r="K14" s="1"/>
  <c r="I13"/>
  <c r="H13"/>
  <c r="I12"/>
  <c r="I22" s="1"/>
  <c r="H12"/>
  <c r="P22" i="12"/>
  <c r="O22"/>
  <c r="N22"/>
  <c r="M22"/>
  <c r="L22"/>
  <c r="K22"/>
  <c r="J22"/>
  <c r="I22"/>
  <c r="H22"/>
  <c r="G22"/>
  <c r="F22"/>
  <c r="E22"/>
  <c r="D22"/>
  <c r="C22"/>
  <c r="R21"/>
  <c r="Q21"/>
  <c r="S21" s="1"/>
  <c r="R20"/>
  <c r="Q20"/>
  <c r="R19"/>
  <c r="Q19"/>
  <c r="S19" s="1"/>
  <c r="R18"/>
  <c r="Q18"/>
  <c r="R17"/>
  <c r="Q17"/>
  <c r="R16"/>
  <c r="Q16"/>
  <c r="R15"/>
  <c r="S15"/>
  <c r="R14"/>
  <c r="Q14"/>
  <c r="R13"/>
  <c r="Q13"/>
  <c r="S13" s="1"/>
  <c r="R12"/>
  <c r="R22" s="1"/>
  <c r="Q12"/>
  <c r="R13" i="2"/>
  <c r="R14"/>
  <c r="R15"/>
  <c r="R16"/>
  <c r="R17"/>
  <c r="R18"/>
  <c r="R19"/>
  <c r="R20"/>
  <c r="R21"/>
  <c r="R12"/>
  <c r="Q13"/>
  <c r="S13" s="1"/>
  <c r="Q14"/>
  <c r="Q16"/>
  <c r="S16" s="1"/>
  <c r="Q17"/>
  <c r="Q19"/>
  <c r="Q20"/>
  <c r="Q12"/>
  <c r="T24" i="11"/>
  <c r="R24"/>
  <c r="P24"/>
  <c r="O24"/>
  <c r="N24"/>
  <c r="M24"/>
  <c r="L24"/>
  <c r="K24"/>
  <c r="J24"/>
  <c r="H24"/>
  <c r="G24"/>
  <c r="F24"/>
  <c r="E24"/>
  <c r="D24"/>
  <c r="I24" s="1"/>
  <c r="C24"/>
  <c r="U23"/>
  <c r="I23"/>
  <c r="S23" s="1"/>
  <c r="W23" s="1"/>
  <c r="U22"/>
  <c r="I22"/>
  <c r="U21"/>
  <c r="I21"/>
  <c r="U20"/>
  <c r="I20"/>
  <c r="U19"/>
  <c r="I19"/>
  <c r="S19" s="1"/>
  <c r="U18"/>
  <c r="I18"/>
  <c r="U17"/>
  <c r="S17"/>
  <c r="I17"/>
  <c r="U16"/>
  <c r="I16"/>
  <c r="U15"/>
  <c r="I15"/>
  <c r="S15" s="1"/>
  <c r="U14"/>
  <c r="I14"/>
  <c r="H12" i="6"/>
  <c r="H13"/>
  <c r="H14"/>
  <c r="H15"/>
  <c r="H16"/>
  <c r="H17"/>
  <c r="H18"/>
  <c r="H19"/>
  <c r="H20"/>
  <c r="U15" i="1"/>
  <c r="U16"/>
  <c r="U17"/>
  <c r="U18"/>
  <c r="U19"/>
  <c r="U20"/>
  <c r="U21"/>
  <c r="U22"/>
  <c r="U23"/>
  <c r="S32" i="7"/>
  <c r="Q32"/>
  <c r="M32"/>
  <c r="P28"/>
  <c r="P32" s="1"/>
  <c r="N30"/>
  <c r="O30"/>
  <c r="N28"/>
  <c r="N32" s="1"/>
  <c r="O28"/>
  <c r="O32" s="1"/>
  <c r="K31"/>
  <c r="K30"/>
  <c r="K29"/>
  <c r="AF12"/>
  <c r="AF13"/>
  <c r="AF14"/>
  <c r="AF15"/>
  <c r="AF16"/>
  <c r="AF17"/>
  <c r="AF18"/>
  <c r="AF19"/>
  <c r="AF20"/>
  <c r="AF11"/>
  <c r="L31" s="1"/>
  <c r="AD12"/>
  <c r="AD14"/>
  <c r="AD17"/>
  <c r="AB12"/>
  <c r="AB13"/>
  <c r="AB14"/>
  <c r="AB15"/>
  <c r="AB16"/>
  <c r="AB17"/>
  <c r="AB18"/>
  <c r="AB19"/>
  <c r="AB20"/>
  <c r="AB11"/>
  <c r="Z12"/>
  <c r="Z13"/>
  <c r="Z14"/>
  <c r="Z15"/>
  <c r="Z16"/>
  <c r="Z17"/>
  <c r="Z18"/>
  <c r="Z19"/>
  <c r="Z20"/>
  <c r="Z11"/>
  <c r="X12"/>
  <c r="X13"/>
  <c r="X14"/>
  <c r="X15"/>
  <c r="X16"/>
  <c r="X17"/>
  <c r="X18"/>
  <c r="X19"/>
  <c r="X20"/>
  <c r="X11"/>
  <c r="T12"/>
  <c r="T13"/>
  <c r="T14"/>
  <c r="T15"/>
  <c r="T16"/>
  <c r="T17"/>
  <c r="T18"/>
  <c r="T19"/>
  <c r="T20"/>
  <c r="T11"/>
  <c r="R12"/>
  <c r="R13"/>
  <c r="R14"/>
  <c r="R15"/>
  <c r="R16"/>
  <c r="R17"/>
  <c r="R18"/>
  <c r="R19"/>
  <c r="R20"/>
  <c r="R11"/>
  <c r="N12"/>
  <c r="N13"/>
  <c r="N14"/>
  <c r="N15"/>
  <c r="N16"/>
  <c r="N17"/>
  <c r="N18"/>
  <c r="N19"/>
  <c r="N20"/>
  <c r="N11"/>
  <c r="J12"/>
  <c r="J13"/>
  <c r="J14"/>
  <c r="J15"/>
  <c r="J16"/>
  <c r="J17"/>
  <c r="J18"/>
  <c r="J19"/>
  <c r="J20"/>
  <c r="J11"/>
  <c r="L30" s="1"/>
  <c r="G12"/>
  <c r="AI12" s="1"/>
  <c r="AJ12" s="1"/>
  <c r="G13"/>
  <c r="G14"/>
  <c r="AI14" s="1"/>
  <c r="AJ14" s="1"/>
  <c r="G15"/>
  <c r="G16"/>
  <c r="G17"/>
  <c r="AI17" s="1"/>
  <c r="AJ17" s="1"/>
  <c r="G19"/>
  <c r="G20"/>
  <c r="G11"/>
  <c r="AG12"/>
  <c r="AG14"/>
  <c r="AG17"/>
  <c r="V17"/>
  <c r="AH14"/>
  <c r="AH17"/>
  <c r="AH12"/>
  <c r="L11" i="5"/>
  <c r="U14" i="1"/>
  <c r="I15"/>
  <c r="S15" s="1"/>
  <c r="I16"/>
  <c r="I17"/>
  <c r="I18"/>
  <c r="I19"/>
  <c r="I20"/>
  <c r="I21"/>
  <c r="I22"/>
  <c r="S22" s="1"/>
  <c r="I23"/>
  <c r="I14"/>
  <c r="I12" i="6"/>
  <c r="J12" s="1"/>
  <c r="K12" s="1"/>
  <c r="I13"/>
  <c r="J13" s="1"/>
  <c r="K13" s="1"/>
  <c r="I14"/>
  <c r="I15"/>
  <c r="J15" s="1"/>
  <c r="K15" s="1"/>
  <c r="I16"/>
  <c r="J16" s="1"/>
  <c r="K16" s="1"/>
  <c r="I17"/>
  <c r="J17" s="1"/>
  <c r="K17" s="1"/>
  <c r="I18"/>
  <c r="J18" s="1"/>
  <c r="K18" s="1"/>
  <c r="I19"/>
  <c r="I20"/>
  <c r="J20" s="1"/>
  <c r="K20" s="1"/>
  <c r="J14"/>
  <c r="K14" s="1"/>
  <c r="J19"/>
  <c r="K19" s="1"/>
  <c r="L12" i="5"/>
  <c r="M12" s="1"/>
  <c r="O12" s="1"/>
  <c r="L13"/>
  <c r="M13" s="1"/>
  <c r="L15"/>
  <c r="L16"/>
  <c r="L17"/>
  <c r="M17" s="1"/>
  <c r="O17" s="1"/>
  <c r="P17" s="1"/>
  <c r="L18"/>
  <c r="M18" s="1"/>
  <c r="O18" s="1"/>
  <c r="P18" s="1"/>
  <c r="L19"/>
  <c r="M19" s="1"/>
  <c r="L20"/>
  <c r="M13" i="4"/>
  <c r="M14"/>
  <c r="M16"/>
  <c r="M17"/>
  <c r="M18"/>
  <c r="M19"/>
  <c r="M20"/>
  <c r="M21"/>
  <c r="H13" i="3"/>
  <c r="H14"/>
  <c r="K14" s="1"/>
  <c r="M14" s="1"/>
  <c r="K15"/>
  <c r="H16"/>
  <c r="H17"/>
  <c r="H18"/>
  <c r="K18" s="1"/>
  <c r="H19"/>
  <c r="K19" s="1"/>
  <c r="H20"/>
  <c r="K20" s="1"/>
  <c r="H21"/>
  <c r="K21" s="1"/>
  <c r="M21" s="1"/>
  <c r="M15" i="5"/>
  <c r="O15" s="1"/>
  <c r="P15" s="1"/>
  <c r="M14"/>
  <c r="O14" s="1"/>
  <c r="P14" s="1"/>
  <c r="K13" i="3"/>
  <c r="M15" i="4"/>
  <c r="J16"/>
  <c r="AC20" i="7"/>
  <c r="AD20" s="1"/>
  <c r="AH20" s="1"/>
  <c r="AC19"/>
  <c r="AD19" s="1"/>
  <c r="AH19" s="1"/>
  <c r="AC18"/>
  <c r="AD18" s="1"/>
  <c r="AG18"/>
  <c r="AC16"/>
  <c r="AD16" s="1"/>
  <c r="AH16" s="1"/>
  <c r="AG16"/>
  <c r="AC15"/>
  <c r="AD15" s="1"/>
  <c r="AH15" s="1"/>
  <c r="AG15"/>
  <c r="AC13"/>
  <c r="AD13" s="1"/>
  <c r="AH13" s="1"/>
  <c r="AG13"/>
  <c r="AC11"/>
  <c r="AG11"/>
  <c r="G21" i="6"/>
  <c r="F21"/>
  <c r="E21"/>
  <c r="D21"/>
  <c r="C21"/>
  <c r="I11"/>
  <c r="I21" s="1"/>
  <c r="H11"/>
  <c r="H21" s="1"/>
  <c r="K21" i="5"/>
  <c r="J21"/>
  <c r="I21"/>
  <c r="H21"/>
  <c r="G21"/>
  <c r="F21"/>
  <c r="E21"/>
  <c r="D21"/>
  <c r="C21"/>
  <c r="B21"/>
  <c r="N20"/>
  <c r="N19"/>
  <c r="N18"/>
  <c r="N17"/>
  <c r="N16"/>
  <c r="N15"/>
  <c r="N14"/>
  <c r="N13"/>
  <c r="N12"/>
  <c r="N11"/>
  <c r="M11"/>
  <c r="B22" i="4"/>
  <c r="O21"/>
  <c r="J21"/>
  <c r="E21"/>
  <c r="O20"/>
  <c r="J20"/>
  <c r="E20"/>
  <c r="O19"/>
  <c r="J19"/>
  <c r="E19"/>
  <c r="O18"/>
  <c r="J18"/>
  <c r="E18"/>
  <c r="O17"/>
  <c r="J17"/>
  <c r="N17" s="1"/>
  <c r="E17"/>
  <c r="O16"/>
  <c r="E16"/>
  <c r="O15"/>
  <c r="J15"/>
  <c r="E15"/>
  <c r="O14"/>
  <c r="J14"/>
  <c r="N14" s="1"/>
  <c r="E14"/>
  <c r="O13"/>
  <c r="J13"/>
  <c r="E13"/>
  <c r="O12"/>
  <c r="M12"/>
  <c r="J12"/>
  <c r="E12"/>
  <c r="I21" i="3"/>
  <c r="I20"/>
  <c r="I19"/>
  <c r="I18"/>
  <c r="I17"/>
  <c r="I16"/>
  <c r="I15"/>
  <c r="I14"/>
  <c r="I13"/>
  <c r="I12"/>
  <c r="H12"/>
  <c r="T24" i="1"/>
  <c r="P24"/>
  <c r="O24"/>
  <c r="N24"/>
  <c r="M24"/>
  <c r="L24"/>
  <c r="K24"/>
  <c r="J24"/>
  <c r="H24"/>
  <c r="G24"/>
  <c r="F24"/>
  <c r="E24"/>
  <c r="C24"/>
  <c r="N16" i="4"/>
  <c r="P16" s="1"/>
  <c r="Q16" s="1"/>
  <c r="N21"/>
  <c r="P21" s="1"/>
  <c r="Q21" s="1"/>
  <c r="N21" i="5"/>
  <c r="L21"/>
  <c r="O11"/>
  <c r="P11" s="1"/>
  <c r="S17" i="12" l="1"/>
  <c r="T17" s="1"/>
  <c r="U17" s="1"/>
  <c r="S19" i="1"/>
  <c r="V19" s="1"/>
  <c r="K12" i="13"/>
  <c r="L12" s="1"/>
  <c r="S14" i="1"/>
  <c r="V14" s="1"/>
  <c r="W14" s="1"/>
  <c r="K17" i="3"/>
  <c r="L17" s="1"/>
  <c r="S17" i="2"/>
  <c r="T17" s="1"/>
  <c r="U17" s="1"/>
  <c r="W19" i="11"/>
  <c r="N12" i="4"/>
  <c r="P12" s="1"/>
  <c r="K12" i="3"/>
  <c r="L12" s="1"/>
  <c r="M12" s="1"/>
  <c r="S12" i="2"/>
  <c r="T12" s="1"/>
  <c r="U12" s="1"/>
  <c r="L13" i="3"/>
  <c r="T13" i="2"/>
  <c r="W15" i="11"/>
  <c r="K18" i="13"/>
  <c r="L18" s="1"/>
  <c r="M18" s="1"/>
  <c r="V20" i="1"/>
  <c r="W20" s="1"/>
  <c r="S20"/>
  <c r="N18" i="4"/>
  <c r="P18" s="1"/>
  <c r="Q18" s="1"/>
  <c r="L18" i="3"/>
  <c r="M18" s="1"/>
  <c r="U18" i="2"/>
  <c r="K16" i="13"/>
  <c r="L16" s="1"/>
  <c r="M16" s="1"/>
  <c r="S18" i="1"/>
  <c r="K16" i="3"/>
  <c r="L16" s="1"/>
  <c r="T16" i="2"/>
  <c r="U16" s="1"/>
  <c r="V17" i="1"/>
  <c r="W17" s="1"/>
  <c r="S17"/>
  <c r="L15" i="3"/>
  <c r="M15" s="1"/>
  <c r="S15" i="2"/>
  <c r="T15" s="1"/>
  <c r="U15" s="1"/>
  <c r="W17" i="11"/>
  <c r="S21" i="1"/>
  <c r="V21"/>
  <c r="L19" i="3"/>
  <c r="S19" i="2"/>
  <c r="U19" s="1"/>
  <c r="S21" i="11"/>
  <c r="V22" i="1"/>
  <c r="W22" s="1"/>
  <c r="N20" i="4"/>
  <c r="P20" s="1"/>
  <c r="Q20" s="1"/>
  <c r="S20" i="2"/>
  <c r="U20" s="1"/>
  <c r="S16" i="1"/>
  <c r="V15"/>
  <c r="W15" s="1"/>
  <c r="S14" i="2"/>
  <c r="T14" s="1"/>
  <c r="U14" s="1"/>
  <c r="U24" i="11"/>
  <c r="I24" i="1"/>
  <c r="K13" i="13"/>
  <c r="M14"/>
  <c r="K15"/>
  <c r="L15" s="1"/>
  <c r="K17"/>
  <c r="L17" s="1"/>
  <c r="K19"/>
  <c r="L19" s="1"/>
  <c r="K21"/>
  <c r="M21" s="1"/>
  <c r="H22"/>
  <c r="S12" i="12"/>
  <c r="T12" s="1"/>
  <c r="T13"/>
  <c r="U13" s="1"/>
  <c r="S14"/>
  <c r="U14" s="1"/>
  <c r="U15"/>
  <c r="S16"/>
  <c r="U16" s="1"/>
  <c r="S18"/>
  <c r="U19"/>
  <c r="S20"/>
  <c r="U20" s="1"/>
  <c r="U21"/>
  <c r="Q22"/>
  <c r="S21" i="2"/>
  <c r="U21" s="1"/>
  <c r="U24" i="1"/>
  <c r="S14" i="11"/>
  <c r="S16"/>
  <c r="S18"/>
  <c r="S20"/>
  <c r="S22"/>
  <c r="S23" i="1"/>
  <c r="N13" i="4"/>
  <c r="P13" s="1"/>
  <c r="Q13" s="1"/>
  <c r="M13" i="3"/>
  <c r="P12" i="5"/>
  <c r="U13" i="2"/>
  <c r="R30" i="7"/>
  <c r="T30"/>
  <c r="P17" i="4"/>
  <c r="Q17" s="1"/>
  <c r="P14"/>
  <c r="Q14" s="1"/>
  <c r="AI19" i="7"/>
  <c r="AJ19" s="1"/>
  <c r="AI15"/>
  <c r="AJ15" s="1"/>
  <c r="AI13"/>
  <c r="AJ13" s="1"/>
  <c r="L29"/>
  <c r="Q12" i="4"/>
  <c r="N15"/>
  <c r="P15" s="1"/>
  <c r="Q15" s="1"/>
  <c r="M20" i="3"/>
  <c r="O13" i="5"/>
  <c r="P13" s="1"/>
  <c r="R31" i="7"/>
  <c r="T31" s="1"/>
  <c r="K28"/>
  <c r="AI20"/>
  <c r="AJ20" s="1"/>
  <c r="AI16"/>
  <c r="AJ16" s="1"/>
  <c r="AG19"/>
  <c r="AG20"/>
  <c r="M20" i="5"/>
  <c r="O20" s="1"/>
  <c r="P20" s="1"/>
  <c r="M16"/>
  <c r="O19"/>
  <c r="P19" s="1"/>
  <c r="AH18" i="7"/>
  <c r="AI18" s="1"/>
  <c r="AJ18" s="1"/>
  <c r="AD11"/>
  <c r="J11" i="6"/>
  <c r="N19" i="4"/>
  <c r="P19" s="1"/>
  <c r="Q19" s="1"/>
  <c r="M17" i="13" l="1"/>
  <c r="W19" i="1"/>
  <c r="L13" i="13"/>
  <c r="M13" s="1"/>
  <c r="M17" i="3"/>
  <c r="T18" i="12"/>
  <c r="U18" s="1"/>
  <c r="W20" i="11"/>
  <c r="V18" i="1"/>
  <c r="W18" s="1"/>
  <c r="M16" i="3"/>
  <c r="W18" i="11"/>
  <c r="M15" i="13"/>
  <c r="K22"/>
  <c r="M19"/>
  <c r="W21" i="1"/>
  <c r="M19" i="3"/>
  <c r="W21" i="11"/>
  <c r="M20" i="13"/>
  <c r="W16" i="1"/>
  <c r="W16" i="11"/>
  <c r="W22"/>
  <c r="M12" i="13"/>
  <c r="T22" i="12"/>
  <c r="U12"/>
  <c r="S22"/>
  <c r="W14" i="11"/>
  <c r="S24"/>
  <c r="W23" i="1"/>
  <c r="S24"/>
  <c r="M21" i="5"/>
  <c r="L28" i="7"/>
  <c r="AH11"/>
  <c r="K11" i="6"/>
  <c r="K21" s="1"/>
  <c r="J21"/>
  <c r="R29" i="7"/>
  <c r="T29" s="1"/>
  <c r="AI11"/>
  <c r="O16" i="5"/>
  <c r="P16" s="1"/>
  <c r="P21" s="1"/>
  <c r="L22" i="13" l="1"/>
  <c r="U22" i="12"/>
  <c r="M22" i="13"/>
  <c r="W24" i="1"/>
  <c r="V24"/>
  <c r="V24" i="11"/>
  <c r="W24"/>
  <c r="R28" i="7"/>
  <c r="R32" s="1"/>
  <c r="L32"/>
  <c r="AJ11"/>
  <c r="T28" l="1"/>
  <c r="T32" s="1"/>
</calcChain>
</file>

<file path=xl/sharedStrings.xml><?xml version="1.0" encoding="utf-8"?>
<sst xmlns="http://schemas.openxmlformats.org/spreadsheetml/2006/main" count="646" uniqueCount="162">
  <si>
    <t>Утверждаю</t>
  </si>
  <si>
    <t>ГУ "Отдел образования Наурзумского района"</t>
  </si>
  <si>
    <t xml:space="preserve"> </t>
  </si>
  <si>
    <t>№</t>
  </si>
  <si>
    <t>Наименование школы</t>
  </si>
  <si>
    <t>1-4 класс</t>
  </si>
  <si>
    <t>5-9 класс</t>
  </si>
  <si>
    <t>10-11 класс</t>
  </si>
  <si>
    <t>селькая  надбавка</t>
  </si>
  <si>
    <t>Проверка тетрадей</t>
  </si>
  <si>
    <t xml:space="preserve">  Класс. руков.</t>
  </si>
  <si>
    <t>каби нет</t>
  </si>
  <si>
    <t>итого педставок</t>
  </si>
  <si>
    <t xml:space="preserve">итого в месяц  тенге </t>
  </si>
  <si>
    <t>Годовой ФОТ , тыс. тенге</t>
  </si>
  <si>
    <t>п.п.</t>
  </si>
  <si>
    <t>к-во</t>
  </si>
  <si>
    <t xml:space="preserve">зарплата </t>
  </si>
  <si>
    <t>назарбаевские</t>
  </si>
  <si>
    <t>часов</t>
  </si>
  <si>
    <t>за часы</t>
  </si>
  <si>
    <t>1-4кл</t>
  </si>
  <si>
    <t>5-9кл</t>
  </si>
  <si>
    <t>10-11кл</t>
  </si>
  <si>
    <t>надбавка</t>
  </si>
  <si>
    <t>мастерская</t>
  </si>
  <si>
    <t>Буревестненская СШ</t>
  </si>
  <si>
    <t>Докучаевская СШ</t>
  </si>
  <si>
    <t>Дамдинская СШ</t>
  </si>
  <si>
    <t>Жамбылская СШ</t>
  </si>
  <si>
    <t>Мерекенская СШ</t>
  </si>
  <si>
    <t>Наурзумская СШ</t>
  </si>
  <si>
    <t>Раздольная СШ</t>
  </si>
  <si>
    <t>Улендинская СШ</t>
  </si>
  <si>
    <t>Шилинская СШ</t>
  </si>
  <si>
    <t>Шолаксайская СШ</t>
  </si>
  <si>
    <t xml:space="preserve">        Итого  СШ :</t>
  </si>
  <si>
    <t>Главный бухгалтер</t>
  </si>
  <si>
    <t>Каргулова Т.Б.</t>
  </si>
  <si>
    <t>Экономист</t>
  </si>
  <si>
    <t>УТВЕРЖДАЮ:</t>
  </si>
  <si>
    <t>ста вка</t>
  </si>
  <si>
    <t>соц. педагог</t>
  </si>
  <si>
    <t>Преподаватель -организатор НВП</t>
  </si>
  <si>
    <t>ставка</t>
  </si>
  <si>
    <t>ст. вожатая</t>
  </si>
  <si>
    <t>лаборант</t>
  </si>
  <si>
    <t>уч.   логопед</t>
  </si>
  <si>
    <t>доплата  Сельск. местн</t>
  </si>
  <si>
    <t>итого шт. ед</t>
  </si>
  <si>
    <t>10% надбавка</t>
  </si>
  <si>
    <t>итого в месяц</t>
  </si>
  <si>
    <t>Годовой ФОТ</t>
  </si>
  <si>
    <t>отдела образования   Наурзумского района</t>
  </si>
  <si>
    <t xml:space="preserve">                     Сводное штатное расписание воспитателей школ</t>
  </si>
  <si>
    <t>воспит. предш колы</t>
  </si>
  <si>
    <t>воспитатель МЦ</t>
  </si>
  <si>
    <t>10% в месяц</t>
  </si>
  <si>
    <t>итого в месяц,тенге</t>
  </si>
  <si>
    <t>Годовой ФОТ, тыс.тенге</t>
  </si>
  <si>
    <t>ГУ "Отдел образования   Наурзумского района"</t>
  </si>
  <si>
    <t>СВОДНОЕ ШТАТНОЕ РАСПИСАНИЕ    УПРАВЛЕНЧЕСКОГО ПЕРСОНАЛА</t>
  </si>
  <si>
    <t xml:space="preserve"> ПО ШКОЛАМ НАУРЗУМСКОГО   ГУ ОО </t>
  </si>
  <si>
    <t xml:space="preserve">Наименование школ </t>
  </si>
  <si>
    <t>кл/компл. 0 -11</t>
  </si>
  <si>
    <t>директор</t>
  </si>
  <si>
    <t xml:space="preserve">зам.   дир по х/ч   G-6  </t>
  </si>
  <si>
    <t>став ка</t>
  </si>
  <si>
    <t>Зам по УР</t>
  </si>
  <si>
    <t>Зам. по ВР</t>
  </si>
  <si>
    <t>Всего штат единиц</t>
  </si>
  <si>
    <t>МФЗП (тыс.тенге)</t>
  </si>
  <si>
    <t xml:space="preserve">          Итого:</t>
  </si>
  <si>
    <t>СВОДНОЕ ШТАТНОЕ РАСПИСАНИЕ    АДМИНИСТРАТИВНОГО ПЕРСОНАЛА</t>
  </si>
  <si>
    <t>завхоз    G-13</t>
  </si>
  <si>
    <t>переводчик</t>
  </si>
  <si>
    <t>инженер всех спец</t>
  </si>
  <si>
    <t>библиотекарь</t>
  </si>
  <si>
    <t>за работу с библ.фондом</t>
  </si>
  <si>
    <t>сельские 25%</t>
  </si>
  <si>
    <t>МФЗП (тенге)</t>
  </si>
  <si>
    <t>СВОДНОЕ ШТАТНОЕ РАСПИСАНИЕ    ВСПОМАГАТЕЛЬНОГО ПЕРСОНАЛА</t>
  </si>
  <si>
    <t>пом.воспитателя G-14</t>
  </si>
  <si>
    <t>Делопроизв.  G14</t>
  </si>
  <si>
    <t>секретарь</t>
  </si>
  <si>
    <t>технич ка    разр.1</t>
  </si>
  <si>
    <t>доплата</t>
  </si>
  <si>
    <t xml:space="preserve">ставка </t>
  </si>
  <si>
    <t xml:space="preserve">коче гар разр.3  </t>
  </si>
  <si>
    <t>доплата за ночн.</t>
  </si>
  <si>
    <t>Допл празд.</t>
  </si>
  <si>
    <t>сторож    разр.1</t>
  </si>
  <si>
    <t>рабочий по ремонту      разр.3</t>
  </si>
  <si>
    <t>электромонтер,р-3</t>
  </si>
  <si>
    <t>слесарь-сантехник, разр 3</t>
  </si>
  <si>
    <t>гардеробщик,р -1</t>
  </si>
  <si>
    <t>вахтер разр 1</t>
  </si>
  <si>
    <t xml:space="preserve">                                                                           СВОДНОЕ ШТАТНОЕ РАСПИСАНИЕ  РАБОЧИХ</t>
  </si>
  <si>
    <t>Руководитель_____________Дускулова Гульнара Чайхисламовна</t>
  </si>
  <si>
    <t>Оспанова Т.Б.</t>
  </si>
  <si>
    <t>методист</t>
  </si>
  <si>
    <t>раз 1</t>
  </si>
  <si>
    <t>разряд2</t>
  </si>
  <si>
    <t xml:space="preserve"> повар разр 4</t>
  </si>
  <si>
    <t>разряд3</t>
  </si>
  <si>
    <t>разряд4</t>
  </si>
  <si>
    <t>оператор  стир.машин раз.2</t>
  </si>
  <si>
    <t>подсобный рабочий разр.2</t>
  </si>
  <si>
    <t>1р</t>
  </si>
  <si>
    <t>2р</t>
  </si>
  <si>
    <t>4р</t>
  </si>
  <si>
    <t>3р</t>
  </si>
  <si>
    <t>ноч</t>
  </si>
  <si>
    <t>пр</t>
  </si>
  <si>
    <t>доп</t>
  </si>
  <si>
    <t>мзп</t>
  </si>
  <si>
    <t>Штат в количестве   249,61    единиц с годовым</t>
  </si>
  <si>
    <r>
      <t xml:space="preserve">Штат в количестве  </t>
    </r>
    <r>
      <rPr>
        <b/>
        <sz val="9"/>
        <rFont val="Times New Roman"/>
        <family val="1"/>
        <charset val="204"/>
      </rPr>
      <t>58,0</t>
    </r>
    <r>
      <rPr>
        <sz val="9"/>
        <rFont val="Times New Roman"/>
        <family val="1"/>
        <charset val="204"/>
      </rPr>
      <t xml:space="preserve">  шт.ед. с годовым</t>
    </r>
  </si>
  <si>
    <r>
      <t xml:space="preserve">Штат в количестве  </t>
    </r>
    <r>
      <rPr>
        <b/>
        <sz val="9"/>
        <rFont val="Times New Roman"/>
        <family val="1"/>
        <charset val="204"/>
      </rPr>
      <t>23,5</t>
    </r>
    <r>
      <rPr>
        <sz val="9"/>
        <rFont val="Times New Roman"/>
        <family val="1"/>
        <charset val="204"/>
      </rPr>
      <t xml:space="preserve"> шт.ед.с  годовым</t>
    </r>
  </si>
  <si>
    <r>
      <t xml:space="preserve">Штат в количестве </t>
    </r>
    <r>
      <rPr>
        <b/>
        <sz val="9"/>
        <rFont val="Times New Roman"/>
        <family val="1"/>
        <charset val="204"/>
      </rPr>
      <t xml:space="preserve"> 31,0 </t>
    </r>
    <r>
      <rPr>
        <sz val="9"/>
        <rFont val="Times New Roman"/>
        <family val="1"/>
        <charset val="204"/>
      </rPr>
      <t xml:space="preserve"> шт.ед.с  годовым</t>
    </r>
  </si>
  <si>
    <t xml:space="preserve"> на 01.09.2018 год</t>
  </si>
  <si>
    <t xml:space="preserve"> УТВЕРЖДАЮ:</t>
  </si>
  <si>
    <t>ГУ " Отдел образования   Наурзумского района"</t>
  </si>
  <si>
    <r>
      <t xml:space="preserve">Штат в количестве </t>
    </r>
    <r>
      <rPr>
        <b/>
        <sz val="8"/>
        <rFont val="Times New Roman"/>
        <family val="1"/>
        <charset val="204"/>
      </rPr>
      <t>19,5</t>
    </r>
    <r>
      <rPr>
        <sz val="8"/>
        <rFont val="Times New Roman"/>
        <family val="1"/>
        <charset val="204"/>
      </rPr>
      <t xml:space="preserve">  единиц с годовым </t>
    </r>
  </si>
  <si>
    <r>
      <t xml:space="preserve">Штат в количестве  </t>
    </r>
    <r>
      <rPr>
        <b/>
        <sz val="8"/>
        <rFont val="Times New Roman"/>
        <family val="1"/>
        <charset val="204"/>
      </rPr>
      <t>15,2</t>
    </r>
    <r>
      <rPr>
        <sz val="8"/>
        <rFont val="Times New Roman"/>
        <family val="1"/>
        <charset val="204"/>
      </rPr>
      <t xml:space="preserve"> шт.ед.с  годовым</t>
    </r>
  </si>
  <si>
    <r>
      <t xml:space="preserve">Штат в количестве </t>
    </r>
    <r>
      <rPr>
        <b/>
        <sz val="8"/>
        <rFont val="Times New Roman"/>
        <family val="1"/>
        <charset val="204"/>
      </rPr>
      <t xml:space="preserve"> 166,8</t>
    </r>
    <r>
      <rPr>
        <sz val="8"/>
        <rFont val="Times New Roman"/>
        <family val="1"/>
        <charset val="204"/>
      </rPr>
      <t xml:space="preserve"> шт.ед.с  годовым</t>
    </r>
  </si>
  <si>
    <r>
      <t xml:space="preserve">фондом оплаты труда  </t>
    </r>
    <r>
      <rPr>
        <b/>
        <sz val="8"/>
        <rFont val="Times New Roman"/>
        <family val="1"/>
        <charset val="204"/>
      </rPr>
      <t>71636</t>
    </r>
    <r>
      <rPr>
        <sz val="8"/>
        <rFont val="Times New Roman"/>
        <family val="1"/>
        <charset val="204"/>
      </rPr>
      <t xml:space="preserve"> тыс.тенге</t>
    </r>
  </si>
  <si>
    <t>педагог-психолог</t>
  </si>
  <si>
    <t xml:space="preserve"> Наурзумского района на 01.09.2019 год</t>
  </si>
  <si>
    <t>инклюзивные 40%</t>
  </si>
  <si>
    <t>Обновленное содержание</t>
  </si>
  <si>
    <t>педагог модератор 30%</t>
  </si>
  <si>
    <t xml:space="preserve">педагог эксперт 35% </t>
  </si>
  <si>
    <t>педагог исследователь 40%</t>
  </si>
  <si>
    <t>Пед. Мастерство педагогов психологов</t>
  </si>
  <si>
    <t>пед ставка</t>
  </si>
  <si>
    <t>сумма</t>
  </si>
  <si>
    <t>часы</t>
  </si>
  <si>
    <t>Языковые курсы</t>
  </si>
  <si>
    <t>Инклюзивные 40%</t>
  </si>
  <si>
    <t>Штат в количестве  258,47    единиц с годовым</t>
  </si>
  <si>
    <t>фондом оплаты труда    307622 тыс.тенге</t>
  </si>
  <si>
    <t xml:space="preserve"> на 01.09.2019 год</t>
  </si>
  <si>
    <t>фондом оплаты труда 114964 тыс.тенге</t>
  </si>
  <si>
    <r>
      <t>фондом оплаты труда</t>
    </r>
    <r>
      <rPr>
        <b/>
        <sz val="9"/>
        <rFont val="Times New Roman"/>
        <family val="1"/>
        <charset val="204"/>
      </rPr>
      <t xml:space="preserve"> 62742</t>
    </r>
    <r>
      <rPr>
        <sz val="9"/>
        <rFont val="Times New Roman"/>
        <family val="1"/>
        <charset val="204"/>
      </rPr>
      <t xml:space="preserve"> тыс.тенге</t>
    </r>
  </si>
  <si>
    <r>
      <t xml:space="preserve">Штат в количестве  </t>
    </r>
    <r>
      <rPr>
        <b/>
        <sz val="9"/>
        <rFont val="Times New Roman"/>
        <family val="1"/>
        <charset val="204"/>
      </rPr>
      <t>56,5</t>
    </r>
    <r>
      <rPr>
        <sz val="9"/>
        <rFont val="Times New Roman"/>
        <family val="1"/>
        <charset val="204"/>
      </rPr>
      <t xml:space="preserve">  шт.ед. с годовым</t>
    </r>
  </si>
  <si>
    <t>Тарификационный список учителей на 01.09.2019 год</t>
  </si>
  <si>
    <t>Тарификационный список учителей на 01.09.2019год</t>
  </si>
  <si>
    <t>фондом оплаты труда  376304  тыс.тенге</t>
  </si>
  <si>
    <r>
      <t>фондом оплаты труда</t>
    </r>
    <r>
      <rPr>
        <b/>
        <sz val="9"/>
        <rFont val="Times New Roman"/>
        <family val="1"/>
        <charset val="204"/>
      </rPr>
      <t xml:space="preserve"> 50755</t>
    </r>
    <r>
      <rPr>
        <sz val="9"/>
        <rFont val="Times New Roman"/>
        <family val="1"/>
        <charset val="204"/>
      </rPr>
      <t xml:space="preserve"> тыс.тенге</t>
    </r>
  </si>
  <si>
    <t>Сводное штатное расписание основного персонала на 01.09.2019 год</t>
  </si>
  <si>
    <r>
      <t>фондом оплаты труда 21005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тыс.тенге</t>
    </r>
  </si>
  <si>
    <r>
      <t xml:space="preserve">фондом оплаты труда  </t>
    </r>
    <r>
      <rPr>
        <b/>
        <sz val="9"/>
        <rFont val="Times New Roman"/>
        <family val="1"/>
        <charset val="204"/>
      </rPr>
      <t xml:space="preserve">25813,9 </t>
    </r>
    <r>
      <rPr>
        <sz val="9"/>
        <rFont val="Times New Roman"/>
        <family val="1"/>
        <charset val="204"/>
      </rPr>
      <t>тыс.тенге</t>
    </r>
  </si>
  <si>
    <r>
      <t xml:space="preserve">фондом оплаты труда  </t>
    </r>
    <r>
      <rPr>
        <b/>
        <sz val="9"/>
        <rFont val="Times New Roman"/>
        <family val="1"/>
        <charset val="204"/>
      </rPr>
      <t>43922</t>
    </r>
    <r>
      <rPr>
        <sz val="9"/>
        <rFont val="Times New Roman"/>
        <family val="1"/>
        <charset val="204"/>
      </rPr>
      <t xml:space="preserve"> тыс.тенге</t>
    </r>
  </si>
  <si>
    <r>
      <t xml:space="preserve">фондом оплаты труда  </t>
    </r>
    <r>
      <rPr>
        <b/>
        <sz val="9"/>
        <rFont val="Times New Roman"/>
        <family val="1"/>
        <charset val="204"/>
      </rPr>
      <t>47249</t>
    </r>
    <r>
      <rPr>
        <sz val="9"/>
        <rFont val="Times New Roman"/>
        <family val="1"/>
        <charset val="204"/>
      </rPr>
      <t xml:space="preserve"> тыс.тенге</t>
    </r>
  </si>
  <si>
    <t>на 01.09.2019 год</t>
  </si>
  <si>
    <r>
      <t xml:space="preserve">фондом оплаты труда </t>
    </r>
    <r>
      <rPr>
        <b/>
        <sz val="8"/>
        <rFont val="Times New Roman"/>
        <family val="1"/>
        <charset val="204"/>
      </rPr>
      <t>15829</t>
    </r>
    <r>
      <rPr>
        <sz val="8"/>
        <rFont val="Times New Roman"/>
        <family val="1"/>
        <charset val="204"/>
      </rPr>
      <t xml:space="preserve">  тыс.тенге</t>
    </r>
  </si>
  <si>
    <t>фондом оплаты труда 21326  тыс.тенге</t>
  </si>
  <si>
    <r>
      <t>фондом оплаты труда</t>
    </r>
    <r>
      <rPr>
        <b/>
        <sz val="8"/>
        <rFont val="Times New Roman"/>
        <family val="1"/>
        <charset val="204"/>
      </rPr>
      <t xml:space="preserve"> 6591</t>
    </r>
    <r>
      <rPr>
        <sz val="8"/>
        <rFont val="Times New Roman"/>
        <family val="1"/>
        <charset val="204"/>
      </rPr>
      <t xml:space="preserve"> тыс.тенге</t>
    </r>
  </si>
  <si>
    <r>
      <t>фондом оплаты труда</t>
    </r>
    <r>
      <rPr>
        <b/>
        <sz val="8"/>
        <rFont val="Times New Roman"/>
        <family val="1"/>
        <charset val="204"/>
      </rPr>
      <t xml:space="preserve"> 11083</t>
    </r>
    <r>
      <rPr>
        <sz val="8"/>
        <rFont val="Times New Roman"/>
        <family val="1"/>
        <charset val="204"/>
      </rPr>
      <t xml:space="preserve"> тыс.тенге</t>
    </r>
  </si>
  <si>
    <t xml:space="preserve">                                                                         на 01.09.2019год</t>
  </si>
  <si>
    <t xml:space="preserve">                                                                         на 01.09.2019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</si>
</sst>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E+00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ntique Olive"/>
      <family val="2"/>
    </font>
    <font>
      <sz val="9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b/>
      <sz val="9"/>
      <name val="Antique Olive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</font>
    <font>
      <b/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sz val="6.5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6">
    <xf numFmtId="0" fontId="0" fillId="0" borderId="0" xfId="0"/>
    <xf numFmtId="0" fontId="3" fillId="0" borderId="0" xfId="1" applyFont="1" applyFill="1"/>
    <xf numFmtId="0" fontId="3" fillId="0" borderId="0" xfId="1" applyFont="1" applyFill="1" applyAlignment="1"/>
    <xf numFmtId="0" fontId="16" fillId="0" borderId="0" xfId="1" applyFont="1" applyFill="1"/>
    <xf numFmtId="0" fontId="17" fillId="0" borderId="0" xfId="1" applyFont="1" applyFill="1" applyAlignment="1"/>
    <xf numFmtId="0" fontId="17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NumberFormat="1" applyFont="1" applyFill="1"/>
    <xf numFmtId="0" fontId="16" fillId="0" borderId="0" xfId="1" applyFont="1" applyFill="1" applyBorder="1" applyAlignment="1">
      <alignment horizontal="left"/>
    </xf>
    <xf numFmtId="0" fontId="17" fillId="0" borderId="1" xfId="1" applyFont="1" applyFill="1" applyBorder="1" applyAlignment="1">
      <alignment wrapText="1"/>
    </xf>
    <xf numFmtId="0" fontId="17" fillId="0" borderId="2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 wrapText="1"/>
    </xf>
    <xf numFmtId="0" fontId="17" fillId="0" borderId="2" xfId="1" applyNumberFormat="1" applyFont="1" applyFill="1" applyBorder="1" applyAlignment="1">
      <alignment wrapText="1"/>
    </xf>
    <xf numFmtId="0" fontId="17" fillId="0" borderId="2" xfId="1" applyNumberFormat="1" applyFont="1" applyFill="1" applyBorder="1" applyAlignment="1">
      <alignment horizontal="center" wrapText="1"/>
    </xf>
    <xf numFmtId="0" fontId="16" fillId="0" borderId="0" xfId="1" applyNumberFormat="1" applyFont="1" applyFill="1" applyAlignment="1"/>
    <xf numFmtId="0" fontId="17" fillId="0" borderId="0" xfId="1" applyNumberFormat="1" applyFont="1" applyFill="1" applyAlignment="1"/>
    <xf numFmtId="1" fontId="17" fillId="0" borderId="1" xfId="1" applyNumberFormat="1" applyFont="1" applyFill="1" applyBorder="1"/>
    <xf numFmtId="164" fontId="17" fillId="0" borderId="1" xfId="1" applyNumberFormat="1" applyFont="1" applyFill="1" applyBorder="1" applyAlignment="1">
      <alignment horizontal="right" wrapText="1"/>
    </xf>
    <xf numFmtId="1" fontId="17" fillId="0" borderId="1" xfId="1" applyNumberFormat="1" applyFont="1" applyFill="1" applyBorder="1" applyAlignment="1">
      <alignment horizontal="right" wrapText="1"/>
    </xf>
    <xf numFmtId="0" fontId="17" fillId="0" borderId="1" xfId="1" applyFont="1" applyFill="1" applyBorder="1"/>
    <xf numFmtId="0" fontId="17" fillId="0" borderId="1" xfId="1" applyFont="1" applyFill="1" applyBorder="1" applyAlignment="1">
      <alignment horizontal="right"/>
    </xf>
    <xf numFmtId="0" fontId="2" fillId="0" borderId="0" xfId="1" applyFont="1" applyFill="1"/>
    <xf numFmtId="0" fontId="5" fillId="0" borderId="0" xfId="1" applyFont="1" applyFill="1"/>
    <xf numFmtId="0" fontId="5" fillId="0" borderId="0" xfId="1" applyNumberFormat="1" applyFont="1" applyFill="1"/>
    <xf numFmtId="0" fontId="8" fillId="0" borderId="0" xfId="1" applyFont="1" applyFill="1"/>
    <xf numFmtId="0" fontId="9" fillId="0" borderId="0" xfId="1" applyFont="1" applyFill="1" applyBorder="1"/>
    <xf numFmtId="1" fontId="9" fillId="0" borderId="0" xfId="1" applyNumberFormat="1" applyFont="1" applyFill="1" applyBorder="1"/>
    <xf numFmtId="0" fontId="12" fillId="0" borderId="0" xfId="1" applyFont="1" applyFill="1"/>
    <xf numFmtId="0" fontId="13" fillId="0" borderId="0" xfId="1" applyNumberFormat="1" applyFont="1" applyFill="1" applyAlignment="1"/>
    <xf numFmtId="0" fontId="18" fillId="0" borderId="0" xfId="1" applyFont="1" applyFill="1" applyAlignment="1"/>
    <xf numFmtId="0" fontId="18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19" fillId="0" borderId="0" xfId="1" applyFont="1" applyFill="1" applyAlignment="1"/>
    <xf numFmtId="0" fontId="19" fillId="0" borderId="0" xfId="1" applyNumberFormat="1" applyFont="1" applyFill="1" applyBorder="1" applyAlignment="1"/>
    <xf numFmtId="0" fontId="19" fillId="0" borderId="0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wrapText="1"/>
    </xf>
    <xf numFmtId="0" fontId="7" fillId="2" borderId="2" xfId="1" applyNumberFormat="1" applyFont="1" applyFill="1" applyBorder="1" applyAlignment="1">
      <alignment wrapText="1"/>
    </xf>
    <xf numFmtId="0" fontId="7" fillId="2" borderId="2" xfId="1" applyNumberFormat="1" applyFont="1" applyFill="1" applyBorder="1" applyAlignment="1">
      <alignment horizontal="center" wrapText="1"/>
    </xf>
    <xf numFmtId="0" fontId="7" fillId="0" borderId="2" xfId="1" applyNumberFormat="1" applyFont="1" applyFill="1" applyBorder="1" applyAlignment="1">
      <alignment horizontal="center" wrapText="1"/>
    </xf>
    <xf numFmtId="9" fontId="7" fillId="0" borderId="1" xfId="1" applyNumberFormat="1" applyFont="1" applyFill="1" applyBorder="1" applyAlignment="1">
      <alignment wrapText="1"/>
    </xf>
    <xf numFmtId="0" fontId="7" fillId="0" borderId="0" xfId="1" applyFont="1" applyFill="1"/>
    <xf numFmtId="0" fontId="7" fillId="0" borderId="1" xfId="1" applyFont="1" applyFill="1" applyBorder="1"/>
    <xf numFmtId="1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5" fillId="2" borderId="0" xfId="1" applyNumberFormat="1" applyFont="1" applyFill="1" applyAlignment="1">
      <alignment horizontal="right"/>
    </xf>
    <xf numFmtId="10" fontId="5" fillId="2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right"/>
    </xf>
    <xf numFmtId="1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/>
    <xf numFmtId="1" fontId="5" fillId="0" borderId="0" xfId="1" applyNumberFormat="1" applyFont="1" applyFill="1"/>
    <xf numFmtId="0" fontId="1" fillId="0" borderId="0" xfId="1" applyAlignment="1"/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right"/>
    </xf>
    <xf numFmtId="1" fontId="14" fillId="0" borderId="0" xfId="1" applyNumberFormat="1" applyFont="1" applyFill="1"/>
    <xf numFmtId="164" fontId="14" fillId="0" borderId="0" xfId="1" applyNumberFormat="1" applyFont="1" applyFill="1"/>
    <xf numFmtId="0" fontId="14" fillId="0" borderId="0" xfId="1" applyFont="1" applyFill="1" applyBorder="1"/>
    <xf numFmtId="1" fontId="14" fillId="0" borderId="0" xfId="1" applyNumberFormat="1" applyFont="1" applyFill="1" applyBorder="1"/>
    <xf numFmtId="1" fontId="14" fillId="2" borderId="0" xfId="1" applyNumberFormat="1" applyFont="1" applyFill="1" applyBorder="1"/>
    <xf numFmtId="0" fontId="15" fillId="0" borderId="0" xfId="1" applyFont="1" applyFill="1" applyAlignment="1"/>
    <xf numFmtId="0" fontId="17" fillId="0" borderId="0" xfId="1" applyFont="1" applyFill="1"/>
    <xf numFmtId="0" fontId="16" fillId="0" borderId="0" xfId="1" applyNumberFormat="1" applyFont="1" applyFill="1" applyAlignment="1">
      <alignment horizontal="left"/>
    </xf>
    <xf numFmtId="0" fontId="17" fillId="0" borderId="0" xfId="1" applyFont="1" applyFill="1" applyAlignment="1">
      <alignment horizontal="center"/>
    </xf>
    <xf numFmtId="0" fontId="17" fillId="0" borderId="0" xfId="1" applyNumberFormat="1" applyFont="1" applyFill="1" applyAlignment="1">
      <alignment horizontal="left"/>
    </xf>
    <xf numFmtId="0" fontId="16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4" fillId="0" borderId="0" xfId="1" applyFont="1" applyFill="1"/>
    <xf numFmtId="0" fontId="14" fillId="0" borderId="0" xfId="1" applyFont="1" applyFill="1" applyAlignment="1"/>
    <xf numFmtId="0" fontId="14" fillId="0" borderId="3" xfId="1" applyFont="1" applyFill="1" applyBorder="1" applyAlignment="1"/>
    <xf numFmtId="0" fontId="14" fillId="0" borderId="0" xfId="1" applyFont="1" applyFill="1" applyBorder="1" applyAlignment="1"/>
    <xf numFmtId="164" fontId="14" fillId="0" borderId="1" xfId="1" applyNumberFormat="1" applyFont="1" applyFill="1" applyBorder="1" applyAlignment="1">
      <alignment wrapText="1"/>
    </xf>
    <xf numFmtId="0" fontId="14" fillId="2" borderId="0" xfId="1" applyFont="1" applyFill="1" applyBorder="1"/>
    <xf numFmtId="164" fontId="15" fillId="0" borderId="1" xfId="1" applyNumberFormat="1" applyFont="1" applyFill="1" applyBorder="1" applyAlignment="1">
      <alignment wrapText="1"/>
    </xf>
    <xf numFmtId="1" fontId="15" fillId="0" borderId="1" xfId="1" applyNumberFormat="1" applyFont="1" applyFill="1" applyBorder="1" applyAlignment="1">
      <alignment wrapText="1"/>
    </xf>
    <xf numFmtId="1" fontId="15" fillId="0" borderId="1" xfId="1" applyNumberFormat="1" applyFont="1" applyFill="1" applyBorder="1" applyAlignment="1">
      <alignment horizontal="center" wrapText="1"/>
    </xf>
    <xf numFmtId="0" fontId="10" fillId="0" borderId="0" xfId="1" applyFont="1" applyFill="1" applyBorder="1"/>
    <xf numFmtId="0" fontId="11" fillId="0" borderId="0" xfId="1" applyFont="1" applyFill="1" applyBorder="1"/>
    <xf numFmtId="0" fontId="9" fillId="0" borderId="0" xfId="1" applyFont="1" applyFill="1"/>
    <xf numFmtId="9" fontId="9" fillId="0" borderId="0" xfId="1" applyNumberFormat="1" applyFont="1" applyFill="1" applyBorder="1"/>
    <xf numFmtId="0" fontId="13" fillId="0" borderId="0" xfId="1" applyNumberFormat="1" applyFont="1" applyFill="1"/>
    <xf numFmtId="0" fontId="4" fillId="0" borderId="0" xfId="1" applyNumberFormat="1" applyFont="1" applyFill="1"/>
    <xf numFmtId="0" fontId="15" fillId="0" borderId="0" xfId="1" applyFont="1" applyFill="1"/>
    <xf numFmtId="1" fontId="14" fillId="0" borderId="1" xfId="1" applyNumberFormat="1" applyFont="1" applyFill="1" applyBorder="1" applyAlignment="1">
      <alignment wrapText="1"/>
    </xf>
    <xf numFmtId="0" fontId="14" fillId="2" borderId="1" xfId="1" applyFont="1" applyFill="1" applyBorder="1" applyAlignment="1">
      <alignment horizontal="left" wrapText="1"/>
    </xf>
    <xf numFmtId="0" fontId="14" fillId="2" borderId="1" xfId="1" applyFont="1" applyFill="1" applyBorder="1" applyAlignment="1">
      <alignment wrapText="1"/>
    </xf>
    <xf numFmtId="1" fontId="14" fillId="2" borderId="1" xfId="1" applyNumberFormat="1" applyFont="1" applyFill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15" fillId="2" borderId="1" xfId="1" applyNumberFormat="1" applyFont="1" applyFill="1" applyBorder="1" applyAlignment="1">
      <alignment wrapText="1"/>
    </xf>
    <xf numFmtId="164" fontId="14" fillId="0" borderId="0" xfId="1" applyNumberFormat="1" applyFont="1" applyFill="1" applyBorder="1"/>
    <xf numFmtId="0" fontId="6" fillId="2" borderId="1" xfId="1" applyFont="1" applyFill="1" applyBorder="1" applyAlignment="1">
      <alignment wrapText="1"/>
    </xf>
    <xf numFmtId="0" fontId="14" fillId="0" borderId="0" xfId="1" applyFont="1" applyFill="1" applyAlignment="1">
      <alignment horizontal="left"/>
    </xf>
    <xf numFmtId="2" fontId="14" fillId="0" borderId="0" xfId="1" applyNumberFormat="1" applyFont="1" applyFill="1" applyBorder="1"/>
    <xf numFmtId="0" fontId="14" fillId="0" borderId="0" xfId="1" applyFont="1" applyFill="1" applyBorder="1" applyAlignment="1">
      <alignment wrapText="1"/>
    </xf>
    <xf numFmtId="1" fontId="14" fillId="0" borderId="0" xfId="1" applyNumberFormat="1" applyFont="1" applyFill="1" applyBorder="1" applyAlignment="1">
      <alignment wrapText="1"/>
    </xf>
    <xf numFmtId="0" fontId="11" fillId="0" borderId="0" xfId="1" applyFont="1" applyFill="1"/>
    <xf numFmtId="1" fontId="15" fillId="0" borderId="0" xfId="1" applyNumberFormat="1" applyFont="1" applyFill="1" applyAlignment="1"/>
    <xf numFmtId="1" fontId="14" fillId="2" borderId="1" xfId="1" applyNumberFormat="1" applyFont="1" applyFill="1" applyBorder="1" applyAlignment="1">
      <alignment horizontal="center" wrapText="1"/>
    </xf>
    <xf numFmtId="1" fontId="15" fillId="2" borderId="1" xfId="1" applyNumberFormat="1" applyFont="1" applyFill="1" applyBorder="1" applyAlignment="1">
      <alignment horizontal="center" wrapText="1"/>
    </xf>
    <xf numFmtId="0" fontId="0" fillId="2" borderId="0" xfId="0" applyFill="1"/>
    <xf numFmtId="0" fontId="14" fillId="2" borderId="1" xfId="1" applyNumberFormat="1" applyFont="1" applyFill="1" applyBorder="1" applyAlignment="1">
      <alignment horizontal="right"/>
    </xf>
    <xf numFmtId="0" fontId="14" fillId="2" borderId="1" xfId="1" applyFont="1" applyFill="1" applyBorder="1" applyAlignment="1">
      <alignment horizontal="right" wrapText="1"/>
    </xf>
    <xf numFmtId="1" fontId="14" fillId="2" borderId="1" xfId="1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0" fontId="20" fillId="0" borderId="0" xfId="0" applyFont="1"/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right"/>
    </xf>
    <xf numFmtId="0" fontId="6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1" fontId="6" fillId="2" borderId="1" xfId="1" applyNumberFormat="1" applyFont="1" applyFill="1" applyBorder="1"/>
    <xf numFmtId="0" fontId="15" fillId="0" borderId="1" xfId="1" applyFont="1" applyFill="1" applyBorder="1" applyAlignment="1">
      <alignment horizontal="center" wrapText="1"/>
    </xf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 applyAlignment="1">
      <alignment textRotation="90" wrapText="1"/>
    </xf>
    <xf numFmtId="9" fontId="15" fillId="0" borderId="1" xfId="1" applyNumberFormat="1" applyFont="1" applyFill="1" applyBorder="1" applyAlignment="1">
      <alignment horizontal="center" wrapText="1"/>
    </xf>
    <xf numFmtId="0" fontId="15" fillId="0" borderId="2" xfId="1" applyNumberFormat="1" applyFont="1" applyFill="1" applyBorder="1" applyAlignment="1">
      <alignment wrapText="1"/>
    </xf>
    <xf numFmtId="9" fontId="15" fillId="0" borderId="2" xfId="1" applyNumberFormat="1" applyFont="1" applyFill="1" applyBorder="1" applyAlignment="1">
      <alignment wrapText="1"/>
    </xf>
    <xf numFmtId="0" fontId="21" fillId="0" borderId="0" xfId="1" applyFont="1" applyAlignment="1"/>
    <xf numFmtId="0" fontId="15" fillId="2" borderId="2" xfId="1" applyNumberFormat="1" applyFont="1" applyFill="1" applyBorder="1" applyAlignment="1">
      <alignment wrapText="1"/>
    </xf>
    <xf numFmtId="0" fontId="15" fillId="2" borderId="1" xfId="1" applyFont="1" applyFill="1" applyBorder="1" applyAlignment="1">
      <alignment textRotation="90" wrapText="1"/>
    </xf>
    <xf numFmtId="0" fontId="15" fillId="2" borderId="1" xfId="1" applyFont="1" applyFill="1" applyBorder="1" applyAlignment="1">
      <alignment wrapText="1"/>
    </xf>
    <xf numFmtId="0" fontId="15" fillId="2" borderId="0" xfId="1" applyFont="1" applyFill="1"/>
    <xf numFmtId="1" fontId="14" fillId="2" borderId="0" xfId="1" applyNumberFormat="1" applyFont="1" applyFill="1" applyBorder="1" applyAlignment="1">
      <alignment wrapText="1"/>
    </xf>
    <xf numFmtId="0" fontId="14" fillId="2" borderId="0" xfId="1" applyFont="1" applyFill="1"/>
    <xf numFmtId="0" fontId="14" fillId="2" borderId="0" xfId="1" applyFont="1" applyFill="1" applyAlignment="1"/>
    <xf numFmtId="0" fontId="11" fillId="2" borderId="0" xfId="1" applyFont="1" applyFill="1"/>
    <xf numFmtId="0" fontId="15" fillId="2" borderId="0" xfId="1" applyFont="1" applyFill="1" applyAlignment="1"/>
    <xf numFmtId="0" fontId="9" fillId="2" borderId="0" xfId="1" applyFont="1" applyFill="1"/>
    <xf numFmtId="0" fontId="13" fillId="2" borderId="0" xfId="1" applyNumberFormat="1" applyFont="1" applyFill="1" applyAlignment="1"/>
    <xf numFmtId="2" fontId="14" fillId="2" borderId="1" xfId="1" applyNumberFormat="1" applyFont="1" applyFill="1" applyBorder="1" applyAlignment="1">
      <alignment wrapText="1"/>
    </xf>
    <xf numFmtId="164" fontId="0" fillId="0" borderId="0" xfId="0" applyNumberFormat="1"/>
    <xf numFmtId="1" fontId="15" fillId="2" borderId="1" xfId="1" applyNumberFormat="1" applyFont="1" applyFill="1" applyBorder="1" applyAlignment="1">
      <alignment horizontal="right" wrapText="1"/>
    </xf>
    <xf numFmtId="1" fontId="0" fillId="0" borderId="0" xfId="0" applyNumberFormat="1"/>
    <xf numFmtId="9" fontId="0" fillId="0" borderId="0" xfId="0" applyNumberFormat="1"/>
    <xf numFmtId="1" fontId="0" fillId="3" borderId="0" xfId="0" applyNumberFormat="1" applyFill="1"/>
    <xf numFmtId="164" fontId="15" fillId="2" borderId="1" xfId="1" applyNumberFormat="1" applyFont="1" applyFill="1" applyBorder="1" applyAlignment="1">
      <alignment horizontal="right" wrapText="1"/>
    </xf>
    <xf numFmtId="0" fontId="21" fillId="0" borderId="0" xfId="1" applyFont="1" applyFill="1" applyAlignment="1">
      <alignment horizontal="center"/>
    </xf>
    <xf numFmtId="0" fontId="21" fillId="0" borderId="0" xfId="1" applyFont="1" applyFill="1" applyAlignment="1"/>
    <xf numFmtId="0" fontId="21" fillId="0" borderId="0" xfId="1" applyNumberFormat="1" applyFont="1" applyFill="1" applyAlignment="1">
      <alignment horizontal="left"/>
    </xf>
    <xf numFmtId="0" fontId="21" fillId="0" borderId="0" xfId="1" applyNumberFormat="1" applyFont="1" applyFill="1" applyAlignment="1"/>
    <xf numFmtId="0" fontId="22" fillId="0" borderId="0" xfId="0" applyFont="1" applyFill="1"/>
    <xf numFmtId="0" fontId="21" fillId="0" borderId="0" xfId="1" applyFont="1" applyFill="1"/>
    <xf numFmtId="0" fontId="22" fillId="0" borderId="0" xfId="0" applyFont="1"/>
    <xf numFmtId="0" fontId="24" fillId="0" borderId="0" xfId="0" applyFont="1" applyFill="1"/>
    <xf numFmtId="0" fontId="25" fillId="0" borderId="0" xfId="1" applyFont="1" applyFill="1" applyBorder="1" applyAlignment="1">
      <alignment horizontal="left"/>
    </xf>
    <xf numFmtId="0" fontId="17" fillId="0" borderId="0" xfId="1" applyFont="1" applyFill="1" applyBorder="1"/>
    <xf numFmtId="0" fontId="26" fillId="0" borderId="0" xfId="1" applyFont="1" applyFill="1" applyAlignment="1">
      <alignment horizontal="center"/>
    </xf>
    <xf numFmtId="0" fontId="26" fillId="0" borderId="0" xfId="1" applyFont="1" applyFill="1"/>
    <xf numFmtId="0" fontId="3" fillId="0" borderId="0" xfId="1" applyNumberFormat="1" applyFont="1" applyFill="1"/>
    <xf numFmtId="0" fontId="23" fillId="0" borderId="0" xfId="1" applyFont="1" applyFill="1" applyAlignment="1">
      <alignment horizontal="left"/>
    </xf>
    <xf numFmtId="0" fontId="17" fillId="0" borderId="0" xfId="1" applyNumberFormat="1" applyFont="1" applyFill="1"/>
    <xf numFmtId="0" fontId="25" fillId="0" borderId="0" xfId="1" applyFont="1" applyFill="1" applyBorder="1" applyAlignment="1">
      <alignment horizontal="center"/>
    </xf>
    <xf numFmtId="0" fontId="16" fillId="0" borderId="0" xfId="1" applyFont="1" applyFill="1" applyBorder="1"/>
    <xf numFmtId="0" fontId="16" fillId="0" borderId="0" xfId="1" applyFont="1" applyFill="1" applyAlignment="1"/>
    <xf numFmtId="0" fontId="27" fillId="0" borderId="2" xfId="1" applyFont="1" applyFill="1" applyBorder="1"/>
    <xf numFmtId="0" fontId="27" fillId="0" borderId="2" xfId="1" applyNumberFormat="1" applyFont="1" applyFill="1" applyBorder="1" applyAlignment="1">
      <alignment wrapText="1"/>
    </xf>
    <xf numFmtId="0" fontId="27" fillId="0" borderId="5" xfId="1" applyFont="1" applyFill="1" applyBorder="1"/>
    <xf numFmtId="0" fontId="27" fillId="0" borderId="2" xfId="1" applyFont="1" applyFill="1" applyBorder="1" applyAlignment="1">
      <alignment horizontal="center"/>
    </xf>
    <xf numFmtId="0" fontId="27" fillId="0" borderId="6" xfId="1" applyFont="1" applyFill="1" applyBorder="1"/>
    <xf numFmtId="9" fontId="27" fillId="0" borderId="5" xfId="1" applyNumberFormat="1" applyFont="1" applyFill="1" applyBorder="1" applyAlignment="1">
      <alignment wrapText="1"/>
    </xf>
    <xf numFmtId="0" fontId="27" fillId="0" borderId="5" xfId="1" applyFont="1" applyFill="1" applyBorder="1" applyAlignment="1">
      <alignment wrapText="1"/>
    </xf>
    <xf numFmtId="0" fontId="27" fillId="0" borderId="4" xfId="1" applyFont="1" applyFill="1" applyBorder="1"/>
    <xf numFmtId="0" fontId="27" fillId="0" borderId="4" xfId="1" applyFont="1" applyFill="1" applyBorder="1" applyAlignment="1">
      <alignment horizontal="center"/>
    </xf>
    <xf numFmtId="49" fontId="27" fillId="0" borderId="1" xfId="1" applyNumberFormat="1" applyFont="1" applyFill="1" applyBorder="1"/>
    <xf numFmtId="0" fontId="27" fillId="0" borderId="1" xfId="1" applyNumberFormat="1" applyFont="1" applyFill="1" applyBorder="1"/>
    <xf numFmtId="0" fontId="27" fillId="0" borderId="7" xfId="1" applyNumberFormat="1" applyFont="1" applyFill="1" applyBorder="1"/>
    <xf numFmtId="0" fontId="27" fillId="0" borderId="4" xfId="1" applyFont="1" applyFill="1" applyBorder="1" applyAlignment="1">
      <alignment wrapText="1"/>
    </xf>
    <xf numFmtId="0" fontId="28" fillId="0" borderId="1" xfId="1" applyFont="1" applyFill="1" applyBorder="1"/>
    <xf numFmtId="0" fontId="28" fillId="0" borderId="1" xfId="1" applyFont="1" applyFill="1" applyBorder="1" applyAlignment="1">
      <alignment horizontal="right"/>
    </xf>
    <xf numFmtId="0" fontId="28" fillId="0" borderId="1" xfId="1" applyNumberFormat="1" applyFont="1" applyFill="1" applyBorder="1" applyAlignment="1">
      <alignment horizontal="right" vertical="center"/>
    </xf>
    <xf numFmtId="0" fontId="28" fillId="0" borderId="1" xfId="1" applyNumberFormat="1" applyFont="1" applyFill="1" applyBorder="1" applyAlignment="1">
      <alignment horizontal="right"/>
    </xf>
    <xf numFmtId="1" fontId="28" fillId="0" borderId="1" xfId="1" applyNumberFormat="1" applyFont="1" applyFill="1" applyBorder="1" applyAlignment="1">
      <alignment horizontal="right"/>
    </xf>
    <xf numFmtId="2" fontId="27" fillId="0" borderId="1" xfId="1" applyNumberFormat="1" applyFont="1" applyFill="1" applyBorder="1" applyAlignment="1">
      <alignment horizontal="right"/>
    </xf>
    <xf numFmtId="1" fontId="28" fillId="0" borderId="1" xfId="1" applyNumberFormat="1" applyFont="1" applyFill="1" applyBorder="1"/>
    <xf numFmtId="0" fontId="27" fillId="0" borderId="1" xfId="1" applyFont="1" applyFill="1" applyBorder="1"/>
    <xf numFmtId="1" fontId="27" fillId="0" borderId="1" xfId="1" applyNumberFormat="1" applyFont="1" applyFill="1" applyBorder="1" applyAlignment="1">
      <alignment horizontal="right"/>
    </xf>
    <xf numFmtId="1" fontId="27" fillId="0" borderId="1" xfId="1" applyNumberFormat="1" applyFont="1" applyFill="1" applyBorder="1" applyAlignment="1">
      <alignment horizontal="right" vertical="center"/>
    </xf>
    <xf numFmtId="0" fontId="27" fillId="0" borderId="0" xfId="1" applyFont="1" applyFill="1" applyBorder="1"/>
    <xf numFmtId="1" fontId="27" fillId="0" borderId="0" xfId="1" applyNumberFormat="1" applyFont="1" applyFill="1" applyBorder="1" applyAlignment="1">
      <alignment horizontal="right"/>
    </xf>
    <xf numFmtId="1" fontId="27" fillId="0" borderId="0" xfId="1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right"/>
    </xf>
    <xf numFmtId="0" fontId="21" fillId="0" borderId="0" xfId="1" applyFont="1" applyFill="1" applyBorder="1"/>
    <xf numFmtId="1" fontId="21" fillId="0" borderId="0" xfId="1" applyNumberFormat="1" applyFont="1" applyFill="1" applyBorder="1" applyAlignment="1">
      <alignment horizontal="right"/>
    </xf>
    <xf numFmtId="2" fontId="21" fillId="0" borderId="0" xfId="1" applyNumberFormat="1" applyFont="1" applyFill="1" applyBorder="1" applyAlignment="1">
      <alignment horizontal="right"/>
    </xf>
    <xf numFmtId="0" fontId="30" fillId="0" borderId="0" xfId="0" applyFont="1"/>
    <xf numFmtId="0" fontId="30" fillId="0" borderId="0" xfId="0" applyFont="1" applyFill="1"/>
    <xf numFmtId="0" fontId="3" fillId="0" borderId="0" xfId="1" applyNumberFormat="1" applyFont="1" applyFill="1" applyAlignment="1">
      <alignment horizontal="left"/>
    </xf>
    <xf numFmtId="1" fontId="3" fillId="0" borderId="0" xfId="1" applyNumberFormat="1" applyFont="1" applyFill="1" applyBorder="1"/>
    <xf numFmtId="9" fontId="3" fillId="0" borderId="0" xfId="1" applyNumberFormat="1" applyFont="1" applyFill="1" applyBorder="1"/>
    <xf numFmtId="164" fontId="21" fillId="0" borderId="0" xfId="1" applyNumberFormat="1" applyFont="1" applyFill="1"/>
    <xf numFmtId="165" fontId="3" fillId="0" borderId="0" xfId="1" applyNumberFormat="1" applyFont="1" applyFill="1"/>
    <xf numFmtId="0" fontId="21" fillId="0" borderId="0" xfId="1" applyNumberFormat="1" applyFont="1" applyFill="1"/>
    <xf numFmtId="0" fontId="3" fillId="0" borderId="0" xfId="1" applyNumberFormat="1" applyFont="1" applyFill="1" applyAlignment="1"/>
    <xf numFmtId="1" fontId="17" fillId="0" borderId="0" xfId="1" applyNumberFormat="1" applyFont="1" applyFill="1" applyAlignment="1">
      <alignment horizontal="left"/>
    </xf>
    <xf numFmtId="1" fontId="14" fillId="0" borderId="0" xfId="1" applyNumberFormat="1" applyFont="1" applyFill="1" applyBorder="1" applyAlignment="1"/>
    <xf numFmtId="0" fontId="3" fillId="0" borderId="0" xfId="1" applyFont="1" applyFill="1" applyAlignment="1">
      <alignment horizontal="center"/>
    </xf>
    <xf numFmtId="0" fontId="25" fillId="0" borderId="0" xfId="1" applyNumberFormat="1" applyFont="1" applyFill="1" applyAlignment="1">
      <alignment horizontal="left"/>
    </xf>
    <xf numFmtId="0" fontId="26" fillId="0" borderId="0" xfId="1" applyNumberFormat="1" applyFont="1" applyFill="1" applyAlignment="1"/>
    <xf numFmtId="0" fontId="24" fillId="0" borderId="0" xfId="0" applyFont="1"/>
    <xf numFmtId="0" fontId="3" fillId="0" borderId="0" xfId="1" applyFont="1" applyAlignment="1"/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vertical="top" wrapText="1"/>
    </xf>
    <xf numFmtId="0" fontId="23" fillId="0" borderId="0" xfId="1" applyFont="1" applyFill="1" applyAlignment="1">
      <alignment horizontal="left"/>
    </xf>
    <xf numFmtId="0" fontId="21" fillId="0" borderId="0" xfId="1" applyFont="1" applyFill="1" applyAlignment="1">
      <alignment horizontal="center"/>
    </xf>
    <xf numFmtId="0" fontId="27" fillId="0" borderId="5" xfId="1" applyFont="1" applyFill="1" applyBorder="1" applyAlignment="1">
      <alignment wrapText="1"/>
    </xf>
    <xf numFmtId="0" fontId="27" fillId="0" borderId="4" xfId="1" applyFont="1" applyFill="1" applyBorder="1" applyAlignment="1">
      <alignment wrapText="1"/>
    </xf>
    <xf numFmtId="0" fontId="27" fillId="0" borderId="2" xfId="1" applyNumberFormat="1" applyFont="1" applyFill="1" applyBorder="1" applyAlignment="1">
      <alignment wrapText="1"/>
    </xf>
    <xf numFmtId="0" fontId="21" fillId="0" borderId="0" xfId="1" applyFont="1" applyFill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0" fontId="23" fillId="0" borderId="0" xfId="1" applyFont="1" applyFill="1" applyAlignment="1">
      <alignment horizontal="left"/>
    </xf>
    <xf numFmtId="0" fontId="23" fillId="0" borderId="0" xfId="1" applyFont="1" applyFill="1" applyAlignment="1">
      <alignment horizontal="center"/>
    </xf>
    <xf numFmtId="0" fontId="17" fillId="0" borderId="0" xfId="1" applyNumberFormat="1" applyFont="1" applyFill="1" applyAlignment="1">
      <alignment horizontal="left"/>
    </xf>
    <xf numFmtId="0" fontId="17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4" fillId="0" borderId="0" xfId="1" applyFont="1" applyFill="1" applyAlignment="1">
      <alignment horizontal="left"/>
    </xf>
    <xf numFmtId="1" fontId="28" fillId="0" borderId="0" xfId="1" applyNumberFormat="1" applyFont="1" applyFill="1" applyBorder="1"/>
    <xf numFmtId="0" fontId="27" fillId="0" borderId="2" xfId="1" applyFont="1" applyFill="1" applyBorder="1" applyAlignment="1">
      <alignment vertical="center" wrapText="1"/>
    </xf>
    <xf numFmtId="0" fontId="19" fillId="0" borderId="0" xfId="1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" fontId="28" fillId="0" borderId="1" xfId="1" applyNumberFormat="1" applyFont="1" applyFill="1" applyBorder="1" applyAlignment="1">
      <alignment horizontal="center"/>
    </xf>
    <xf numFmtId="2" fontId="28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wrapText="1"/>
    </xf>
    <xf numFmtId="0" fontId="14" fillId="0" borderId="1" xfId="1" applyNumberFormat="1" applyFont="1" applyFill="1" applyBorder="1" applyAlignment="1">
      <alignment horizontal="right"/>
    </xf>
    <xf numFmtId="1" fontId="14" fillId="0" borderId="1" xfId="1" applyNumberFormat="1" applyFont="1" applyFill="1" applyBorder="1" applyAlignment="1">
      <alignment horizontal="center" wrapText="1"/>
    </xf>
    <xf numFmtId="0" fontId="0" fillId="0" borderId="0" xfId="0" applyFill="1"/>
    <xf numFmtId="0" fontId="35" fillId="0" borderId="1" xfId="1" applyNumberFormat="1" applyFont="1" applyFill="1" applyBorder="1" applyAlignment="1">
      <alignment horizontal="right"/>
    </xf>
    <xf numFmtId="0" fontId="16" fillId="0" borderId="1" xfId="1" applyFont="1" applyFill="1" applyBorder="1"/>
    <xf numFmtId="0" fontId="16" fillId="0" borderId="1" xfId="1" applyFont="1" applyFill="1" applyBorder="1" applyAlignment="1">
      <alignment wrapText="1"/>
    </xf>
    <xf numFmtId="0" fontId="16" fillId="0" borderId="1" xfId="1" applyNumberFormat="1" applyFont="1" applyFill="1" applyBorder="1" applyAlignment="1">
      <alignment horizontal="right"/>
    </xf>
    <xf numFmtId="1" fontId="16" fillId="0" borderId="1" xfId="1" applyNumberFormat="1" applyFont="1" applyFill="1" applyBorder="1"/>
    <xf numFmtId="164" fontId="16" fillId="0" borderId="1" xfId="1" applyNumberFormat="1" applyFont="1" applyFill="1" applyBorder="1" applyAlignment="1">
      <alignment horizontal="right" wrapText="1"/>
    </xf>
    <xf numFmtId="1" fontId="16" fillId="0" borderId="1" xfId="1" applyNumberFormat="1" applyFont="1" applyFill="1" applyBorder="1" applyAlignment="1">
      <alignment horizontal="right" wrapText="1"/>
    </xf>
    <xf numFmtId="1" fontId="16" fillId="0" borderId="1" xfId="1" applyNumberFormat="1" applyFont="1" applyFill="1" applyBorder="1" applyAlignment="1">
      <alignment horizontal="right"/>
    </xf>
    <xf numFmtId="1" fontId="17" fillId="0" borderId="1" xfId="1" applyNumberFormat="1" applyFont="1" applyFill="1" applyBorder="1" applyAlignment="1">
      <alignment horizontal="right"/>
    </xf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right"/>
    </xf>
    <xf numFmtId="0" fontId="14" fillId="0" borderId="1" xfId="1" applyFont="1" applyFill="1" applyBorder="1" applyAlignment="1">
      <alignment horizontal="left" wrapText="1"/>
    </xf>
    <xf numFmtId="0" fontId="14" fillId="0" borderId="1" xfId="1" applyFont="1" applyFill="1" applyBorder="1" applyAlignment="1">
      <alignment horizontal="right" wrapText="1"/>
    </xf>
    <xf numFmtId="164" fontId="14" fillId="0" borderId="1" xfId="1" applyNumberFormat="1" applyFont="1" applyFill="1" applyBorder="1" applyAlignment="1">
      <alignment horizontal="right"/>
    </xf>
    <xf numFmtId="1" fontId="14" fillId="0" borderId="1" xfId="1" applyNumberFormat="1" applyFont="1" applyFill="1" applyBorder="1" applyAlignment="1">
      <alignment horizontal="right"/>
    </xf>
    <xf numFmtId="2" fontId="14" fillId="0" borderId="1" xfId="1" applyNumberFormat="1" applyFont="1" applyFill="1" applyBorder="1" applyAlignment="1">
      <alignment wrapText="1"/>
    </xf>
    <xf numFmtId="1" fontId="15" fillId="2" borderId="1" xfId="1" applyNumberFormat="1" applyFont="1" applyFill="1" applyBorder="1" applyAlignment="1">
      <alignment wrapText="1"/>
    </xf>
    <xf numFmtId="0" fontId="33" fillId="0" borderId="1" xfId="0" applyFont="1" applyFill="1" applyBorder="1" applyAlignment="1">
      <alignment horizontal="center"/>
    </xf>
    <xf numFmtId="0" fontId="29" fillId="0" borderId="1" xfId="1" applyNumberFormat="1" applyFont="1" applyFill="1" applyBorder="1" applyAlignment="1">
      <alignment horizontal="right"/>
    </xf>
    <xf numFmtId="2" fontId="34" fillId="0" borderId="1" xfId="0" applyNumberFormat="1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27" fillId="0" borderId="2" xfId="1" applyNumberFormat="1" applyFont="1" applyFill="1" applyBorder="1" applyAlignment="1">
      <alignment wrapText="1"/>
    </xf>
    <xf numFmtId="0" fontId="27" fillId="0" borderId="5" xfId="1" applyFont="1" applyFill="1" applyBorder="1" applyAlignment="1">
      <alignment wrapText="1"/>
    </xf>
    <xf numFmtId="0" fontId="27" fillId="0" borderId="4" xfId="1" applyFont="1" applyFill="1" applyBorder="1" applyAlignment="1">
      <alignment wrapText="1"/>
    </xf>
    <xf numFmtId="0" fontId="27" fillId="0" borderId="1" xfId="1" applyFont="1" applyFill="1" applyBorder="1" applyAlignment="1">
      <alignment wrapText="1"/>
    </xf>
    <xf numFmtId="0" fontId="27" fillId="0" borderId="5" xfId="1" applyFont="1" applyFill="1" applyBorder="1" applyAlignment="1">
      <alignment horizontal="center" wrapText="1"/>
    </xf>
    <xf numFmtId="0" fontId="27" fillId="0" borderId="4" xfId="1" applyFont="1" applyFill="1" applyBorder="1" applyAlignment="1">
      <alignment horizontal="center" wrapText="1"/>
    </xf>
    <xf numFmtId="0" fontId="23" fillId="0" borderId="0" xfId="1" applyFont="1" applyFill="1" applyAlignment="1">
      <alignment horizontal="left"/>
    </xf>
    <xf numFmtId="0" fontId="21" fillId="0" borderId="0" xfId="1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27" fillId="0" borderId="6" xfId="1" applyFont="1" applyFill="1" applyBorder="1" applyAlignment="1">
      <alignment horizontal="center"/>
    </xf>
    <xf numFmtId="0" fontId="27" fillId="0" borderId="10" xfId="1" applyFont="1" applyFill="1" applyBorder="1" applyAlignment="1">
      <alignment horizontal="center"/>
    </xf>
    <xf numFmtId="0" fontId="27" fillId="0" borderId="11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27" fillId="0" borderId="6" xfId="1" applyNumberFormat="1" applyFont="1" applyFill="1" applyBorder="1" applyAlignment="1">
      <alignment horizontal="center"/>
    </xf>
    <xf numFmtId="0" fontId="27" fillId="0" borderId="10" xfId="1" applyNumberFormat="1" applyFont="1" applyFill="1" applyBorder="1" applyAlignment="1">
      <alignment horizontal="center"/>
    </xf>
    <xf numFmtId="0" fontId="27" fillId="0" borderId="12" xfId="1" applyNumberFormat="1" applyFont="1" applyFill="1" applyBorder="1" applyAlignment="1">
      <alignment horizontal="center"/>
    </xf>
    <xf numFmtId="0" fontId="27" fillId="0" borderId="0" xfId="1" applyNumberFormat="1" applyFont="1" applyFill="1" applyBorder="1" applyAlignment="1">
      <alignment horizontal="center"/>
    </xf>
    <xf numFmtId="0" fontId="27" fillId="0" borderId="2" xfId="1" applyFont="1" applyFill="1" applyBorder="1" applyAlignment="1">
      <alignment horizontal="center" wrapText="1"/>
    </xf>
    <xf numFmtId="0" fontId="27" fillId="0" borderId="8" xfId="1" applyFont="1" applyFill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27" fillId="0" borderId="9" xfId="1" applyFont="1" applyFill="1" applyBorder="1" applyAlignment="1">
      <alignment horizontal="center"/>
    </xf>
    <xf numFmtId="0" fontId="27" fillId="0" borderId="2" xfId="1" applyFont="1" applyFill="1" applyBorder="1" applyAlignment="1">
      <alignment wrapText="1"/>
    </xf>
    <xf numFmtId="0" fontId="27" fillId="0" borderId="6" xfId="1" applyFont="1" applyFill="1" applyBorder="1" applyAlignment="1">
      <alignment horizontal="center" vertical="center" wrapText="1"/>
    </xf>
    <xf numFmtId="0" fontId="27" fillId="0" borderId="10" xfId="1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center" vertical="center" wrapText="1"/>
    </xf>
    <xf numFmtId="0" fontId="27" fillId="0" borderId="12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horizontal="center" vertical="center" wrapText="1"/>
    </xf>
    <xf numFmtId="0" fontId="27" fillId="0" borderId="11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horizontal="center" vertical="center" wrapText="1"/>
    </xf>
    <xf numFmtId="0" fontId="17" fillId="0" borderId="0" xfId="1" applyNumberFormat="1" applyFont="1" applyFill="1" applyAlignment="1">
      <alignment horizontal="left"/>
    </xf>
    <xf numFmtId="0" fontId="17" fillId="0" borderId="0" xfId="1" applyFont="1" applyFill="1" applyAlignment="1">
      <alignment horizontal="right"/>
    </xf>
    <xf numFmtId="164" fontId="17" fillId="0" borderId="0" xfId="1" applyNumberFormat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4" fillId="0" borderId="0" xfId="1" applyFont="1" applyFill="1" applyAlignment="1">
      <alignment horizontal="left"/>
    </xf>
    <xf numFmtId="0" fontId="15" fillId="0" borderId="0" xfId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zoomScale="110" zoomScaleNormal="110" zoomScaleSheetLayoutView="120" workbookViewId="0">
      <selection activeCell="C7" sqref="C7:P7"/>
    </sheetView>
  </sheetViews>
  <sheetFormatPr defaultRowHeight="15"/>
  <cols>
    <col min="1" max="1" width="3.42578125" style="143" customWidth="1"/>
    <col min="2" max="2" width="15.5703125" style="143" customWidth="1"/>
    <col min="3" max="3" width="6.140625" style="143" customWidth="1"/>
    <col min="4" max="4" width="7.28515625" style="143" customWidth="1"/>
    <col min="5" max="5" width="5.28515625" style="143" customWidth="1"/>
    <col min="6" max="6" width="7.42578125" style="143" customWidth="1"/>
    <col min="7" max="7" width="5.5703125" style="143" customWidth="1"/>
    <col min="8" max="8" width="7.28515625" style="143" customWidth="1"/>
    <col min="9" max="9" width="7.140625" style="143" customWidth="1"/>
    <col min="10" max="10" width="6.140625" style="143" customWidth="1"/>
    <col min="11" max="11" width="6.28515625" style="143" customWidth="1"/>
    <col min="12" max="12" width="7.28515625" style="143" customWidth="1"/>
    <col min="13" max="13" width="5.85546875" style="143" customWidth="1"/>
    <col min="14" max="14" width="6.5703125" style="143" customWidth="1"/>
    <col min="15" max="15" width="6.28515625" style="143" customWidth="1"/>
    <col min="16" max="17" width="7" style="143" customWidth="1"/>
    <col min="18" max="18" width="8" style="143" customWidth="1"/>
    <col min="19" max="19" width="6.85546875" style="143" customWidth="1"/>
    <col min="20" max="20" width="5.5703125" style="143" customWidth="1"/>
    <col min="21" max="21" width="5.42578125" style="143" customWidth="1"/>
    <col min="22" max="22" width="6.7109375" style="143" customWidth="1"/>
    <col min="23" max="23" width="6.42578125" style="143" customWidth="1"/>
    <col min="24" max="16384" width="9.140625" style="143"/>
  </cols>
  <sheetData>
    <row r="1" spans="1:23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 t="s">
        <v>0</v>
      </c>
      <c r="M1" s="1"/>
      <c r="N1" s="1"/>
      <c r="O1" s="1"/>
      <c r="P1" s="141"/>
      <c r="Q1" s="141"/>
      <c r="R1" s="141"/>
      <c r="S1" s="141"/>
      <c r="T1" s="141"/>
      <c r="U1" s="141"/>
      <c r="V1" s="141"/>
      <c r="W1" s="141"/>
    </row>
    <row r="2" spans="1:23">
      <c r="A2" s="141"/>
      <c r="B2" s="141"/>
      <c r="C2" s="144"/>
      <c r="D2" s="144"/>
      <c r="E2" s="144"/>
      <c r="F2" s="144"/>
      <c r="G2" s="144"/>
      <c r="H2" s="144"/>
      <c r="I2" s="144"/>
      <c r="J2" s="144"/>
      <c r="K2" s="141"/>
      <c r="L2" s="2" t="s">
        <v>140</v>
      </c>
      <c r="M2" s="2"/>
      <c r="N2" s="2"/>
      <c r="O2" s="2"/>
      <c r="P2" s="2"/>
      <c r="Q2" s="2"/>
      <c r="R2" s="2"/>
      <c r="S2" s="2"/>
      <c r="T2" s="141"/>
      <c r="U2" s="141"/>
      <c r="V2" s="141"/>
      <c r="W2" s="141"/>
    </row>
    <row r="3" spans="1:23">
      <c r="A3" s="141"/>
      <c r="B3" s="141"/>
      <c r="C3" s="144"/>
      <c r="D3" s="144"/>
      <c r="E3" s="144"/>
      <c r="F3" s="144"/>
      <c r="G3" s="144"/>
      <c r="H3" s="144"/>
      <c r="I3" s="144"/>
      <c r="J3" s="144"/>
      <c r="K3" s="141"/>
      <c r="L3" s="2" t="s">
        <v>141</v>
      </c>
      <c r="M3" s="2"/>
      <c r="N3" s="2"/>
      <c r="O3" s="2"/>
      <c r="P3" s="2"/>
      <c r="Q3" s="2"/>
      <c r="R3" s="2"/>
      <c r="S3" s="2"/>
      <c r="T3" s="141"/>
      <c r="U3" s="141"/>
      <c r="V3" s="141"/>
      <c r="W3" s="141"/>
    </row>
    <row r="4" spans="1:23" ht="15.75">
      <c r="A4" s="3"/>
      <c r="B4" s="145"/>
      <c r="C4" s="146"/>
      <c r="D4" s="62"/>
      <c r="E4" s="147"/>
      <c r="F4" s="148"/>
      <c r="G4" s="148"/>
      <c r="H4" s="148"/>
      <c r="I4" s="148"/>
      <c r="J4" s="148"/>
      <c r="K4" s="7"/>
      <c r="L4" s="2" t="s">
        <v>98</v>
      </c>
      <c r="M4" s="2"/>
      <c r="N4" s="2"/>
      <c r="O4" s="2"/>
      <c r="P4" s="2"/>
      <c r="Q4" s="2"/>
      <c r="R4" s="2"/>
      <c r="S4" s="2"/>
      <c r="T4" s="2"/>
      <c r="U4" s="2"/>
      <c r="V4" s="7"/>
      <c r="W4" s="141"/>
    </row>
    <row r="5" spans="1:23" ht="15.75">
      <c r="A5" s="3"/>
      <c r="B5" s="145"/>
      <c r="C5" s="146"/>
      <c r="D5" s="62"/>
      <c r="E5" s="147"/>
      <c r="F5" s="148"/>
      <c r="G5" s="148"/>
      <c r="H5" s="148"/>
      <c r="I5" s="148"/>
      <c r="J5" s="148"/>
      <c r="K5" s="7"/>
      <c r="L5" s="2" t="s">
        <v>1</v>
      </c>
      <c r="M5" s="2"/>
      <c r="N5" s="2"/>
      <c r="O5" s="2"/>
      <c r="P5" s="2"/>
      <c r="Q5" s="2"/>
      <c r="R5" s="2"/>
      <c r="S5" s="2"/>
      <c r="T5" s="149"/>
      <c r="U5" s="7"/>
      <c r="V5" s="7"/>
      <c r="W5" s="141"/>
    </row>
    <row r="6" spans="1:23" ht="18.75">
      <c r="A6" s="3"/>
      <c r="B6" s="145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12"/>
      <c r="R6" s="205"/>
      <c r="S6" s="205"/>
      <c r="T6" s="205"/>
      <c r="U6" s="151"/>
      <c r="V6" s="7"/>
      <c r="W6" s="141"/>
    </row>
    <row r="7" spans="1:23" ht="18.75">
      <c r="A7" s="3"/>
      <c r="B7" s="145"/>
      <c r="C7" s="264" t="s">
        <v>146</v>
      </c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13"/>
      <c r="R7" s="205"/>
      <c r="S7" s="205"/>
      <c r="T7" s="205"/>
      <c r="U7" s="151"/>
      <c r="V7" s="7"/>
      <c r="W7" s="141"/>
    </row>
    <row r="8" spans="1:23" ht="15.75">
      <c r="A8" s="3"/>
      <c r="B8" s="152"/>
      <c r="C8" s="153"/>
      <c r="D8" s="3"/>
      <c r="E8" s="66"/>
      <c r="F8" s="3"/>
      <c r="G8" s="3"/>
      <c r="H8" s="154"/>
      <c r="I8" s="154"/>
      <c r="J8" s="154"/>
      <c r="K8" s="154"/>
      <c r="L8" s="154"/>
      <c r="M8" s="7"/>
      <c r="N8" s="7" t="s">
        <v>2</v>
      </c>
      <c r="O8" s="7"/>
      <c r="P8" s="7"/>
      <c r="Q8" s="7"/>
      <c r="R8" s="7"/>
      <c r="S8" s="7"/>
      <c r="T8" s="7"/>
      <c r="U8" s="151"/>
      <c r="V8" s="7"/>
      <c r="W8" s="141"/>
    </row>
    <row r="9" spans="1:23" ht="15.75">
      <c r="A9" s="3"/>
      <c r="B9" s="152"/>
      <c r="C9" s="153"/>
      <c r="D9" s="3"/>
      <c r="E9" s="66"/>
      <c r="F9" s="3"/>
      <c r="G9" s="3"/>
      <c r="H9" s="3"/>
      <c r="I9" s="3"/>
      <c r="J9" s="3"/>
      <c r="K9" s="7"/>
      <c r="L9" s="7"/>
      <c r="M9" s="7"/>
      <c r="N9" s="7"/>
      <c r="O9" s="7"/>
      <c r="P9" s="7"/>
      <c r="Q9" s="7"/>
      <c r="R9" s="7"/>
      <c r="S9" s="7"/>
      <c r="T9" s="7"/>
      <c r="U9" s="151"/>
      <c r="V9" s="7"/>
      <c r="W9" s="141"/>
    </row>
    <row r="10" spans="1:23" ht="15.75">
      <c r="A10" s="3"/>
      <c r="B10" s="152"/>
      <c r="C10" s="153"/>
      <c r="D10" s="3"/>
      <c r="E10" s="66"/>
      <c r="F10" s="3"/>
      <c r="G10" s="3"/>
      <c r="H10" s="3"/>
      <c r="I10" s="3"/>
      <c r="J10" s="3"/>
      <c r="K10" s="7"/>
      <c r="L10" s="7"/>
      <c r="M10" s="7"/>
      <c r="N10" s="7"/>
      <c r="O10" s="7"/>
      <c r="P10" s="7"/>
      <c r="Q10" s="7"/>
      <c r="R10" s="7"/>
      <c r="S10" s="7"/>
      <c r="T10" s="7"/>
      <c r="U10" s="151"/>
      <c r="V10" s="7"/>
      <c r="W10" s="141"/>
    </row>
    <row r="11" spans="1:23" ht="15" customHeight="1">
      <c r="A11" s="155" t="s">
        <v>3</v>
      </c>
      <c r="B11" s="274" t="s">
        <v>4</v>
      </c>
      <c r="C11" s="275" t="s">
        <v>5</v>
      </c>
      <c r="D11" s="275"/>
      <c r="E11" s="276" t="s">
        <v>6</v>
      </c>
      <c r="F11" s="276"/>
      <c r="G11" s="275" t="s">
        <v>7</v>
      </c>
      <c r="H11" s="277"/>
      <c r="I11" s="278" t="s">
        <v>8</v>
      </c>
      <c r="J11" s="266" t="s">
        <v>9</v>
      </c>
      <c r="K11" s="267"/>
      <c r="L11" s="267"/>
      <c r="M11" s="270" t="s">
        <v>10</v>
      </c>
      <c r="N11" s="271"/>
      <c r="O11" s="271"/>
      <c r="P11" s="257" t="s">
        <v>11</v>
      </c>
      <c r="Q11" s="257" t="s">
        <v>129</v>
      </c>
      <c r="R11" s="209"/>
      <c r="S11" s="209"/>
      <c r="T11" s="209"/>
      <c r="U11" s="257" t="s">
        <v>12</v>
      </c>
      <c r="V11" s="257" t="s">
        <v>13</v>
      </c>
      <c r="W11" s="260" t="s">
        <v>14</v>
      </c>
    </row>
    <row r="12" spans="1:23" ht="15" customHeight="1">
      <c r="A12" s="157" t="s">
        <v>15</v>
      </c>
      <c r="B12" s="261"/>
      <c r="C12" s="155" t="s">
        <v>16</v>
      </c>
      <c r="D12" s="155" t="s">
        <v>17</v>
      </c>
      <c r="E12" s="158" t="s">
        <v>16</v>
      </c>
      <c r="F12" s="155" t="s">
        <v>17</v>
      </c>
      <c r="G12" s="155" t="s">
        <v>16</v>
      </c>
      <c r="H12" s="159" t="s">
        <v>17</v>
      </c>
      <c r="I12" s="258"/>
      <c r="J12" s="268"/>
      <c r="K12" s="269"/>
      <c r="L12" s="269"/>
      <c r="M12" s="272"/>
      <c r="N12" s="273"/>
      <c r="O12" s="273"/>
      <c r="P12" s="258"/>
      <c r="Q12" s="258"/>
      <c r="R12" s="261" t="s">
        <v>18</v>
      </c>
      <c r="S12" s="160">
        <v>0.1</v>
      </c>
      <c r="T12" s="207"/>
      <c r="U12" s="258"/>
      <c r="V12" s="258"/>
      <c r="W12" s="260"/>
    </row>
    <row r="13" spans="1:23" ht="21.75">
      <c r="A13" s="162"/>
      <c r="B13" s="262"/>
      <c r="C13" s="162" t="s">
        <v>19</v>
      </c>
      <c r="D13" s="162" t="s">
        <v>20</v>
      </c>
      <c r="E13" s="163" t="s">
        <v>19</v>
      </c>
      <c r="F13" s="162" t="s">
        <v>20</v>
      </c>
      <c r="G13" s="162" t="s">
        <v>19</v>
      </c>
      <c r="H13" s="162" t="s">
        <v>20</v>
      </c>
      <c r="I13" s="259"/>
      <c r="J13" s="164" t="s">
        <v>21</v>
      </c>
      <c r="K13" s="165" t="s">
        <v>22</v>
      </c>
      <c r="L13" s="165" t="s">
        <v>23</v>
      </c>
      <c r="M13" s="164" t="s">
        <v>21</v>
      </c>
      <c r="N13" s="165" t="s">
        <v>22</v>
      </c>
      <c r="O13" s="166" t="s">
        <v>23</v>
      </c>
      <c r="P13" s="259"/>
      <c r="Q13" s="259"/>
      <c r="R13" s="262"/>
      <c r="S13" s="208" t="s">
        <v>24</v>
      </c>
      <c r="T13" s="208" t="s">
        <v>25</v>
      </c>
      <c r="U13" s="259"/>
      <c r="V13" s="259"/>
      <c r="W13" s="260"/>
    </row>
    <row r="14" spans="1:23" s="141" customFormat="1">
      <c r="A14" s="168">
        <v>1</v>
      </c>
      <c r="B14" s="168" t="s">
        <v>26</v>
      </c>
      <c r="C14" s="169">
        <v>107</v>
      </c>
      <c r="D14" s="169">
        <v>358541</v>
      </c>
      <c r="E14" s="170">
        <v>180</v>
      </c>
      <c r="F14" s="169">
        <v>655861</v>
      </c>
      <c r="G14" s="171">
        <v>79</v>
      </c>
      <c r="H14" s="171">
        <v>298352</v>
      </c>
      <c r="I14" s="172">
        <f>(D14+F14+H14)*25%</f>
        <v>328188.5</v>
      </c>
      <c r="J14" s="169">
        <v>8652</v>
      </c>
      <c r="K14" s="171">
        <v>11995</v>
      </c>
      <c r="L14" s="171">
        <v>8849</v>
      </c>
      <c r="M14" s="171">
        <v>8848</v>
      </c>
      <c r="N14" s="171">
        <v>13275</v>
      </c>
      <c r="O14" s="171">
        <v>5310</v>
      </c>
      <c r="P14" s="171">
        <v>24773</v>
      </c>
      <c r="Q14" s="171">
        <v>65282</v>
      </c>
      <c r="R14" s="171">
        <v>0</v>
      </c>
      <c r="S14" s="172">
        <f>(D14+F14+H14+I14)*0.1</f>
        <v>164094.25</v>
      </c>
      <c r="T14" s="172">
        <v>3539.4</v>
      </c>
      <c r="U14" s="173">
        <f>(C14+E14+G14)/18</f>
        <v>20.333333333333332</v>
      </c>
      <c r="V14" s="172">
        <f>T14+P14+O14+N14+M14+L14+K14+J14+I14+H14+F14+D14+S14+R14+Q14</f>
        <v>1955560.15</v>
      </c>
      <c r="W14" s="174">
        <f>(V14*12)/1000</f>
        <v>23466.721799999996</v>
      </c>
    </row>
    <row r="15" spans="1:23" s="141" customFormat="1">
      <c r="A15" s="168">
        <v>2</v>
      </c>
      <c r="B15" s="168" t="s">
        <v>27</v>
      </c>
      <c r="C15" s="169">
        <v>136</v>
      </c>
      <c r="D15" s="169">
        <v>557043</v>
      </c>
      <c r="E15" s="170">
        <v>192</v>
      </c>
      <c r="F15" s="169">
        <v>709807</v>
      </c>
      <c r="G15" s="169">
        <v>79</v>
      </c>
      <c r="H15" s="169">
        <v>296405</v>
      </c>
      <c r="I15" s="172">
        <f t="shared" ref="I15:I23" si="0">(D15+F15+H15)*25%</f>
        <v>390813.75</v>
      </c>
      <c r="J15" s="169">
        <v>19565</v>
      </c>
      <c r="K15" s="171">
        <v>14256</v>
      </c>
      <c r="L15" s="171">
        <v>3441</v>
      </c>
      <c r="M15" s="171">
        <v>19908</v>
      </c>
      <c r="N15" s="171">
        <v>15929</v>
      </c>
      <c r="O15" s="171">
        <v>5310</v>
      </c>
      <c r="P15" s="171">
        <v>24773</v>
      </c>
      <c r="Q15" s="171">
        <v>81799</v>
      </c>
      <c r="R15" s="171">
        <v>39447</v>
      </c>
      <c r="S15" s="172">
        <f t="shared" ref="S15:S23" si="1">(D15+F15+H15+I15)*0.1</f>
        <v>195406.875</v>
      </c>
      <c r="T15" s="172">
        <v>3539</v>
      </c>
      <c r="U15" s="173">
        <f t="shared" ref="U15:U23" si="2">(C15+E15+G15)/18</f>
        <v>22.611111111111111</v>
      </c>
      <c r="V15" s="172">
        <f t="shared" ref="V15:V23" si="3">T15+P15+O15+N15+M15+L15+K15+J15+I15+H15+F15+D15+S15+R15+Q15</f>
        <v>2377442.625</v>
      </c>
      <c r="W15" s="174">
        <f t="shared" ref="W15:W23" si="4">(V15*12)/1000</f>
        <v>28529.3115</v>
      </c>
    </row>
    <row r="16" spans="1:23" s="141" customFormat="1">
      <c r="A16" s="168">
        <v>3</v>
      </c>
      <c r="B16" s="168" t="s">
        <v>28</v>
      </c>
      <c r="C16" s="169">
        <v>107</v>
      </c>
      <c r="D16" s="169">
        <v>405527</v>
      </c>
      <c r="E16" s="170">
        <v>180</v>
      </c>
      <c r="F16" s="169">
        <v>704527</v>
      </c>
      <c r="G16" s="169">
        <v>155</v>
      </c>
      <c r="H16" s="169">
        <v>569608</v>
      </c>
      <c r="I16" s="172">
        <f t="shared" si="0"/>
        <v>419915.5</v>
      </c>
      <c r="J16" s="169">
        <v>8652</v>
      </c>
      <c r="K16" s="171">
        <v>10717</v>
      </c>
      <c r="L16" s="171">
        <v>5997</v>
      </c>
      <c r="M16" s="171">
        <v>8848</v>
      </c>
      <c r="N16" s="171">
        <v>15930</v>
      </c>
      <c r="O16" s="171">
        <v>7965</v>
      </c>
      <c r="P16" s="171">
        <v>24773</v>
      </c>
      <c r="Q16" s="171">
        <v>16910</v>
      </c>
      <c r="R16" s="171">
        <v>102135</v>
      </c>
      <c r="S16" s="172">
        <f t="shared" si="1"/>
        <v>209957.75</v>
      </c>
      <c r="T16" s="172">
        <v>3539</v>
      </c>
      <c r="U16" s="173">
        <f t="shared" si="2"/>
        <v>24.555555555555557</v>
      </c>
      <c r="V16" s="172">
        <f t="shared" si="3"/>
        <v>2515001.25</v>
      </c>
      <c r="W16" s="174">
        <f>(V16*12)/1000</f>
        <v>30180.014999999999</v>
      </c>
    </row>
    <row r="17" spans="1:23" s="141" customFormat="1">
      <c r="A17" s="168">
        <v>4</v>
      </c>
      <c r="B17" s="168" t="s">
        <v>29</v>
      </c>
      <c r="C17" s="169">
        <v>309</v>
      </c>
      <c r="D17" s="169">
        <v>1157070</v>
      </c>
      <c r="E17" s="170">
        <v>438</v>
      </c>
      <c r="F17" s="169">
        <v>1705956</v>
      </c>
      <c r="G17" s="169">
        <v>215</v>
      </c>
      <c r="H17" s="169">
        <v>850601</v>
      </c>
      <c r="I17" s="172">
        <f t="shared" si="0"/>
        <v>928406.75</v>
      </c>
      <c r="J17" s="169">
        <v>38344</v>
      </c>
      <c r="K17" s="171">
        <v>50018</v>
      </c>
      <c r="L17" s="171">
        <v>18680</v>
      </c>
      <c r="M17" s="171">
        <v>53090</v>
      </c>
      <c r="N17" s="171">
        <v>53090</v>
      </c>
      <c r="O17" s="171">
        <v>26545</v>
      </c>
      <c r="P17" s="171">
        <v>49546</v>
      </c>
      <c r="Q17" s="171">
        <v>103429</v>
      </c>
      <c r="R17" s="171">
        <v>151875</v>
      </c>
      <c r="S17" s="172">
        <f t="shared" si="1"/>
        <v>464203.375</v>
      </c>
      <c r="T17" s="172">
        <v>3539.4</v>
      </c>
      <c r="U17" s="173">
        <f t="shared" si="2"/>
        <v>53.444444444444443</v>
      </c>
      <c r="V17" s="172">
        <f t="shared" si="3"/>
        <v>5654393.5250000004</v>
      </c>
      <c r="W17" s="174">
        <f>(V17*12)/1000</f>
        <v>67852.722300000009</v>
      </c>
    </row>
    <row r="18" spans="1:23" s="141" customFormat="1">
      <c r="A18" s="168">
        <v>5</v>
      </c>
      <c r="B18" s="168" t="s">
        <v>30</v>
      </c>
      <c r="C18" s="169">
        <v>107</v>
      </c>
      <c r="D18" s="172">
        <v>385716</v>
      </c>
      <c r="E18" s="170">
        <v>179</v>
      </c>
      <c r="F18" s="169">
        <v>625422</v>
      </c>
      <c r="G18" s="169">
        <v>0</v>
      </c>
      <c r="H18" s="169">
        <v>0</v>
      </c>
      <c r="I18" s="172">
        <f t="shared" si="0"/>
        <v>252784.5</v>
      </c>
      <c r="J18" s="169">
        <v>7251</v>
      </c>
      <c r="K18" s="171">
        <v>11159</v>
      </c>
      <c r="L18" s="171">
        <v>0</v>
      </c>
      <c r="M18" s="171">
        <v>8848</v>
      </c>
      <c r="N18" s="171">
        <v>13275</v>
      </c>
      <c r="O18" s="171">
        <v>0</v>
      </c>
      <c r="P18" s="171">
        <v>24773</v>
      </c>
      <c r="Q18" s="171">
        <v>0</v>
      </c>
      <c r="R18" s="171">
        <v>0</v>
      </c>
      <c r="S18" s="172">
        <f t="shared" si="1"/>
        <v>126392.25</v>
      </c>
      <c r="T18" s="172">
        <v>3539.4</v>
      </c>
      <c r="U18" s="173">
        <f t="shared" si="2"/>
        <v>15.888888888888889</v>
      </c>
      <c r="V18" s="172">
        <f t="shared" si="3"/>
        <v>1459160.15</v>
      </c>
      <c r="W18" s="174">
        <f t="shared" si="4"/>
        <v>17509.921799999996</v>
      </c>
    </row>
    <row r="19" spans="1:23" s="141" customFormat="1">
      <c r="A19" s="168">
        <v>6</v>
      </c>
      <c r="B19" s="168" t="s">
        <v>31</v>
      </c>
      <c r="C19" s="169">
        <v>107</v>
      </c>
      <c r="D19" s="169">
        <v>434845</v>
      </c>
      <c r="E19" s="170">
        <v>141</v>
      </c>
      <c r="F19" s="172">
        <v>522032</v>
      </c>
      <c r="G19" s="169">
        <v>79</v>
      </c>
      <c r="H19" s="169">
        <v>275090</v>
      </c>
      <c r="I19" s="172">
        <f t="shared" si="0"/>
        <v>307991.75</v>
      </c>
      <c r="J19" s="169">
        <v>7620</v>
      </c>
      <c r="K19" s="171">
        <v>6587</v>
      </c>
      <c r="L19" s="171">
        <v>2089</v>
      </c>
      <c r="M19" s="171">
        <v>8848</v>
      </c>
      <c r="N19" s="171">
        <v>10620</v>
      </c>
      <c r="O19" s="171">
        <v>5310</v>
      </c>
      <c r="P19" s="171">
        <v>24773</v>
      </c>
      <c r="Q19" s="171">
        <v>36967</v>
      </c>
      <c r="R19" s="171">
        <v>24953</v>
      </c>
      <c r="S19" s="172">
        <f t="shared" si="1"/>
        <v>153995.875</v>
      </c>
      <c r="T19" s="172">
        <v>3540</v>
      </c>
      <c r="U19" s="173">
        <f t="shared" si="2"/>
        <v>18.166666666666668</v>
      </c>
      <c r="V19" s="172">
        <f t="shared" si="3"/>
        <v>1825261.625</v>
      </c>
      <c r="W19" s="174">
        <f t="shared" si="4"/>
        <v>21903.139500000001</v>
      </c>
    </row>
    <row r="20" spans="1:23" s="141" customFormat="1">
      <c r="A20" s="168">
        <v>7</v>
      </c>
      <c r="B20" s="168" t="s">
        <v>32</v>
      </c>
      <c r="C20" s="169">
        <v>189</v>
      </c>
      <c r="D20" s="169">
        <v>655585</v>
      </c>
      <c r="E20" s="170">
        <v>251</v>
      </c>
      <c r="F20" s="169">
        <v>896461</v>
      </c>
      <c r="G20" s="169">
        <v>120</v>
      </c>
      <c r="H20" s="169">
        <v>442454</v>
      </c>
      <c r="I20" s="172">
        <f t="shared" si="0"/>
        <v>498625</v>
      </c>
      <c r="J20" s="169">
        <v>13764</v>
      </c>
      <c r="K20" s="171">
        <v>12585</v>
      </c>
      <c r="L20" s="171">
        <v>6096</v>
      </c>
      <c r="M20" s="171">
        <v>15484</v>
      </c>
      <c r="N20" s="171">
        <v>15930</v>
      </c>
      <c r="O20" s="171">
        <v>7965</v>
      </c>
      <c r="P20" s="171">
        <v>24773</v>
      </c>
      <c r="Q20" s="171">
        <v>0</v>
      </c>
      <c r="R20" s="171">
        <v>187697</v>
      </c>
      <c r="S20" s="172">
        <f t="shared" si="1"/>
        <v>249312.5</v>
      </c>
      <c r="T20" s="172">
        <v>3540</v>
      </c>
      <c r="U20" s="173">
        <f t="shared" si="2"/>
        <v>31.111111111111111</v>
      </c>
      <c r="V20" s="172">
        <f t="shared" si="3"/>
        <v>3030271.5</v>
      </c>
      <c r="W20" s="174">
        <f t="shared" si="4"/>
        <v>36363.258000000002</v>
      </c>
    </row>
    <row r="21" spans="1:23" s="141" customFormat="1">
      <c r="A21" s="168">
        <v>8</v>
      </c>
      <c r="B21" s="168" t="s">
        <v>33</v>
      </c>
      <c r="C21" s="169">
        <v>108.5</v>
      </c>
      <c r="D21" s="169">
        <v>357706</v>
      </c>
      <c r="E21" s="170">
        <v>143</v>
      </c>
      <c r="F21" s="169">
        <v>507412</v>
      </c>
      <c r="G21" s="169">
        <v>0</v>
      </c>
      <c r="H21" s="169">
        <v>0</v>
      </c>
      <c r="I21" s="172">
        <f t="shared" si="0"/>
        <v>216279.5</v>
      </c>
      <c r="J21" s="169">
        <v>6902</v>
      </c>
      <c r="K21" s="171">
        <v>10981</v>
      </c>
      <c r="L21" s="171">
        <v>0</v>
      </c>
      <c r="M21" s="171">
        <v>8848</v>
      </c>
      <c r="N21" s="171">
        <v>10620</v>
      </c>
      <c r="O21" s="171">
        <v>0</v>
      </c>
      <c r="P21" s="171">
        <v>24773</v>
      </c>
      <c r="Q21" s="171">
        <v>0</v>
      </c>
      <c r="R21" s="171">
        <v>0</v>
      </c>
      <c r="S21" s="172">
        <f t="shared" si="1"/>
        <v>108139.75</v>
      </c>
      <c r="T21" s="172">
        <v>3540</v>
      </c>
      <c r="U21" s="173">
        <f t="shared" si="2"/>
        <v>13.972222222222221</v>
      </c>
      <c r="V21" s="172">
        <f t="shared" si="3"/>
        <v>1255201.25</v>
      </c>
      <c r="W21" s="174">
        <f t="shared" si="4"/>
        <v>15062.415000000001</v>
      </c>
    </row>
    <row r="22" spans="1:23" s="141" customFormat="1">
      <c r="A22" s="168">
        <v>9</v>
      </c>
      <c r="B22" s="168" t="s">
        <v>34</v>
      </c>
      <c r="C22" s="169">
        <v>115</v>
      </c>
      <c r="D22" s="169">
        <v>433350</v>
      </c>
      <c r="E22" s="170">
        <v>183</v>
      </c>
      <c r="F22" s="169">
        <v>687106</v>
      </c>
      <c r="G22" s="169">
        <v>77</v>
      </c>
      <c r="H22" s="169">
        <v>306699</v>
      </c>
      <c r="I22" s="172">
        <f t="shared" si="0"/>
        <v>356788.75</v>
      </c>
      <c r="J22" s="169">
        <v>16419</v>
      </c>
      <c r="K22" s="171">
        <v>12142</v>
      </c>
      <c r="L22" s="171">
        <v>5605</v>
      </c>
      <c r="M22" s="171">
        <v>11060</v>
      </c>
      <c r="N22" s="171">
        <v>13275</v>
      </c>
      <c r="O22" s="171">
        <v>5310</v>
      </c>
      <c r="P22" s="171">
        <v>24773</v>
      </c>
      <c r="Q22" s="171">
        <v>12191</v>
      </c>
      <c r="R22" s="171">
        <v>0</v>
      </c>
      <c r="S22" s="172">
        <f t="shared" si="1"/>
        <v>178394.375</v>
      </c>
      <c r="T22" s="172">
        <v>3540</v>
      </c>
      <c r="U22" s="173">
        <f t="shared" si="2"/>
        <v>20.833333333333332</v>
      </c>
      <c r="V22" s="172">
        <f t="shared" si="3"/>
        <v>2066653.125</v>
      </c>
      <c r="W22" s="174">
        <f t="shared" si="4"/>
        <v>24799.837500000001</v>
      </c>
    </row>
    <row r="23" spans="1:23" s="141" customFormat="1">
      <c r="A23" s="168">
        <v>10</v>
      </c>
      <c r="B23" s="168" t="s">
        <v>35</v>
      </c>
      <c r="C23" s="169">
        <v>223</v>
      </c>
      <c r="D23" s="169">
        <v>749743</v>
      </c>
      <c r="E23" s="170">
        <v>296</v>
      </c>
      <c r="F23" s="172">
        <v>1034102.5</v>
      </c>
      <c r="G23" s="169">
        <v>157</v>
      </c>
      <c r="H23" s="169">
        <v>549639</v>
      </c>
      <c r="I23" s="172">
        <f t="shared" si="0"/>
        <v>583371.125</v>
      </c>
      <c r="J23" s="169">
        <v>16419</v>
      </c>
      <c r="K23" s="171">
        <v>13789</v>
      </c>
      <c r="L23" s="171">
        <v>8652</v>
      </c>
      <c r="M23" s="171">
        <v>17696</v>
      </c>
      <c r="N23" s="171">
        <v>21240</v>
      </c>
      <c r="O23" s="171">
        <v>10620</v>
      </c>
      <c r="P23" s="171">
        <v>24773</v>
      </c>
      <c r="Q23" s="171">
        <v>38147</v>
      </c>
      <c r="R23" s="228">
        <v>132814</v>
      </c>
      <c r="S23" s="172">
        <f t="shared" si="1"/>
        <v>291685.5625</v>
      </c>
      <c r="T23" s="172">
        <v>3540</v>
      </c>
      <c r="U23" s="173">
        <f t="shared" si="2"/>
        <v>37.555555555555557</v>
      </c>
      <c r="V23" s="172">
        <f t="shared" si="3"/>
        <v>3496231.1875</v>
      </c>
      <c r="W23" s="174">
        <f t="shared" si="4"/>
        <v>41954.774250000002</v>
      </c>
    </row>
    <row r="24" spans="1:23">
      <c r="A24" s="175"/>
      <c r="B24" s="175" t="s">
        <v>36</v>
      </c>
      <c r="C24" s="176">
        <f t="shared" ref="C24:H24" si="5">SUM(C14:C23)</f>
        <v>1508.5</v>
      </c>
      <c r="D24" s="176">
        <f t="shared" si="5"/>
        <v>5495126</v>
      </c>
      <c r="E24" s="177">
        <f t="shared" si="5"/>
        <v>2183</v>
      </c>
      <c r="F24" s="176">
        <f t="shared" si="5"/>
        <v>8048686.5</v>
      </c>
      <c r="G24" s="176">
        <f t="shared" si="5"/>
        <v>961</v>
      </c>
      <c r="H24" s="176">
        <f t="shared" si="5"/>
        <v>3588848</v>
      </c>
      <c r="I24" s="176">
        <f>(D24+F24+H24)*25%</f>
        <v>4283165.125</v>
      </c>
      <c r="J24" s="176">
        <f t="shared" ref="J24:O24" si="6">SUM(J14:J23)</f>
        <v>143588</v>
      </c>
      <c r="K24" s="176">
        <f t="shared" si="6"/>
        <v>154229</v>
      </c>
      <c r="L24" s="176">
        <f t="shared" si="6"/>
        <v>59409</v>
      </c>
      <c r="M24" s="176">
        <f t="shared" si="6"/>
        <v>161478</v>
      </c>
      <c r="N24" s="176">
        <f t="shared" si="6"/>
        <v>183184</v>
      </c>
      <c r="O24" s="176">
        <f t="shared" si="6"/>
        <v>74335</v>
      </c>
      <c r="P24" s="176">
        <f t="shared" ref="P24:W24" si="7">SUM(P14:P23)</f>
        <v>272503</v>
      </c>
      <c r="Q24" s="176">
        <f t="shared" si="7"/>
        <v>354725</v>
      </c>
      <c r="R24" s="176">
        <f t="shared" si="7"/>
        <v>638921</v>
      </c>
      <c r="S24" s="176">
        <f t="shared" si="7"/>
        <v>2141582.5625</v>
      </c>
      <c r="T24" s="176">
        <f t="shared" si="7"/>
        <v>35396.199999999997</v>
      </c>
      <c r="U24" s="173">
        <f t="shared" si="7"/>
        <v>258.47222222222223</v>
      </c>
      <c r="V24" s="176">
        <f t="shared" si="7"/>
        <v>25635176.387500003</v>
      </c>
      <c r="W24" s="176">
        <f t="shared" si="7"/>
        <v>307622.11665000004</v>
      </c>
    </row>
    <row r="25" spans="1:23">
      <c r="A25" s="178"/>
      <c r="B25" s="178"/>
      <c r="C25" s="179"/>
      <c r="D25" s="179"/>
      <c r="E25" s="180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81"/>
      <c r="V25" s="179"/>
      <c r="W25" s="179"/>
    </row>
    <row r="26" spans="1:23" s="185" customFormat="1" ht="12.75">
      <c r="A26" s="182"/>
      <c r="B26" s="182"/>
      <c r="C26" s="183"/>
      <c r="D26" s="138" t="s">
        <v>37</v>
      </c>
      <c r="E26" s="138"/>
      <c r="F26" s="138"/>
      <c r="G26" s="138"/>
      <c r="H26" s="139"/>
      <c r="I26" s="140"/>
      <c r="J26" s="140"/>
      <c r="K26" s="140"/>
      <c r="L26" s="140" t="s">
        <v>38</v>
      </c>
      <c r="M26" s="140"/>
      <c r="N26" s="183"/>
      <c r="O26" s="183"/>
      <c r="P26" s="183"/>
      <c r="Q26" s="183"/>
      <c r="R26" s="183"/>
      <c r="S26" s="183"/>
      <c r="T26" s="183"/>
      <c r="U26" s="184"/>
      <c r="V26" s="183"/>
      <c r="W26" s="183"/>
    </row>
    <row r="27" spans="1:23" s="185" customFormat="1" ht="12.75">
      <c r="A27" s="186"/>
      <c r="B27" s="186"/>
      <c r="C27" s="186"/>
      <c r="D27" s="186"/>
      <c r="E27" s="186"/>
      <c r="F27" s="186"/>
      <c r="G27" s="187"/>
      <c r="H27" s="187"/>
      <c r="I27" s="186"/>
      <c r="J27" s="188"/>
      <c r="K27" s="189"/>
      <c r="L27" s="189"/>
      <c r="M27" s="1"/>
      <c r="N27" s="1"/>
      <c r="O27" s="1"/>
      <c r="P27" s="1"/>
      <c r="Q27" s="1"/>
      <c r="R27" s="1"/>
      <c r="S27" s="1"/>
      <c r="T27" s="142"/>
      <c r="U27" s="190"/>
      <c r="V27" s="191"/>
      <c r="W27" s="186"/>
    </row>
    <row r="28" spans="1:23" s="185" customFormat="1" ht="12.75">
      <c r="A28" s="186"/>
      <c r="B28" s="186"/>
      <c r="C28" s="186"/>
      <c r="D28" s="142" t="s">
        <v>39</v>
      </c>
      <c r="E28" s="206"/>
      <c r="F28" s="142"/>
      <c r="G28" s="140"/>
      <c r="H28" s="140"/>
      <c r="I28" s="142"/>
      <c r="J28" s="140"/>
      <c r="K28" s="192"/>
      <c r="L28" s="192" t="s">
        <v>99</v>
      </c>
      <c r="M28" s="140"/>
      <c r="N28" s="186"/>
      <c r="O28" s="186"/>
      <c r="P28" s="193"/>
      <c r="Q28" s="193"/>
      <c r="R28" s="193"/>
      <c r="S28" s="193"/>
      <c r="T28" s="193"/>
      <c r="U28" s="186"/>
      <c r="V28" s="186"/>
      <c r="W28" s="186"/>
    </row>
    <row r="29" spans="1:23" s="185" customFormat="1" ht="12.75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</row>
    <row r="30" spans="1:23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</row>
  </sheetData>
  <mergeCells count="15">
    <mergeCell ref="B11:B13"/>
    <mergeCell ref="C11:D11"/>
    <mergeCell ref="E11:F11"/>
    <mergeCell ref="G11:H11"/>
    <mergeCell ref="I11:I13"/>
    <mergeCell ref="U11:U13"/>
    <mergeCell ref="V11:V13"/>
    <mergeCell ref="W11:W13"/>
    <mergeCell ref="R12:R13"/>
    <mergeCell ref="C6:P6"/>
    <mergeCell ref="C7:P7"/>
    <mergeCell ref="J11:L12"/>
    <mergeCell ref="M11:O12"/>
    <mergeCell ref="P11:P13"/>
    <mergeCell ref="Q11:Q13"/>
  </mergeCells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130" zoomScaleSheetLayoutView="130" workbookViewId="0">
      <selection activeCell="L10" sqref="L10"/>
    </sheetView>
  </sheetViews>
  <sheetFormatPr defaultRowHeight="15"/>
  <cols>
    <col min="1" max="1" width="15.140625" customWidth="1"/>
    <col min="2" max="2" width="6.7109375" customWidth="1"/>
    <col min="3" max="3" width="5.140625" customWidth="1"/>
    <col min="5" max="5" width="4.140625" customWidth="1"/>
    <col min="7" max="7" width="3.7109375" customWidth="1"/>
    <col min="9" max="9" width="4.28515625" customWidth="1"/>
    <col min="14" max="14" width="5.28515625" customWidth="1"/>
  </cols>
  <sheetData>
    <row r="1" spans="1:16">
      <c r="I1" s="127"/>
      <c r="J1" s="127"/>
      <c r="K1" s="127" t="s">
        <v>121</v>
      </c>
      <c r="L1" s="127"/>
      <c r="M1" s="127"/>
      <c r="N1" s="127"/>
      <c r="O1" s="127"/>
      <c r="P1" s="127"/>
    </row>
    <row r="2" spans="1:16">
      <c r="H2" s="127"/>
      <c r="I2" s="127"/>
      <c r="J2" s="127"/>
      <c r="K2" s="125" t="s">
        <v>123</v>
      </c>
      <c r="L2" s="125"/>
      <c r="M2" s="125"/>
      <c r="N2" s="125"/>
      <c r="O2" s="125"/>
      <c r="P2" s="125"/>
    </row>
    <row r="3" spans="1:16">
      <c r="H3" s="127"/>
      <c r="I3" s="127"/>
      <c r="J3" s="127"/>
      <c r="K3" s="125" t="s">
        <v>157</v>
      </c>
      <c r="L3" s="125"/>
      <c r="M3" s="125"/>
      <c r="N3" s="125"/>
      <c r="O3" s="125"/>
      <c r="P3" s="125"/>
    </row>
    <row r="4" spans="1:16">
      <c r="H4" s="127"/>
      <c r="I4" s="127"/>
      <c r="J4" s="127"/>
      <c r="K4" s="125" t="s">
        <v>98</v>
      </c>
      <c r="L4" s="125"/>
      <c r="M4" s="125"/>
      <c r="N4" s="125"/>
      <c r="O4" s="125"/>
      <c r="P4" s="125"/>
    </row>
    <row r="5" spans="1:16">
      <c r="C5" s="293"/>
      <c r="D5" s="293"/>
      <c r="H5" s="127"/>
      <c r="I5" s="127"/>
      <c r="J5" s="127"/>
      <c r="K5" s="125" t="s">
        <v>122</v>
      </c>
      <c r="L5" s="125"/>
      <c r="M5" s="125"/>
      <c r="N5" s="125"/>
      <c r="O5" s="125"/>
      <c r="P5" s="125"/>
    </row>
    <row r="6" spans="1:16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>
      <c r="A7" s="69"/>
      <c r="B7" s="69"/>
      <c r="C7" s="293" t="s">
        <v>73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68"/>
      <c r="O7" s="69"/>
      <c r="P7" s="69"/>
    </row>
    <row r="8" spans="1:16">
      <c r="A8" s="69"/>
      <c r="B8" s="69"/>
      <c r="C8" s="293" t="s">
        <v>62</v>
      </c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69"/>
      <c r="P8" s="56"/>
    </row>
    <row r="9" spans="1:16">
      <c r="A9" s="70"/>
      <c r="B9" s="70"/>
      <c r="C9" s="293" t="s">
        <v>155</v>
      </c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70"/>
      <c r="P9" s="56"/>
    </row>
    <row r="10" spans="1:16" ht="43.5">
      <c r="A10" s="112" t="s">
        <v>63</v>
      </c>
      <c r="B10" s="113" t="s">
        <v>64</v>
      </c>
      <c r="C10" s="114" t="s">
        <v>44</v>
      </c>
      <c r="D10" s="113" t="s">
        <v>74</v>
      </c>
      <c r="E10" s="119" t="s">
        <v>44</v>
      </c>
      <c r="F10" s="116" t="s">
        <v>75</v>
      </c>
      <c r="G10" s="120" t="s">
        <v>44</v>
      </c>
      <c r="H10" s="121" t="s">
        <v>76</v>
      </c>
      <c r="I10" s="114" t="s">
        <v>44</v>
      </c>
      <c r="J10" s="113" t="s">
        <v>77</v>
      </c>
      <c r="K10" s="113" t="s">
        <v>78</v>
      </c>
      <c r="L10" s="113" t="s">
        <v>79</v>
      </c>
      <c r="M10" s="117" t="s">
        <v>50</v>
      </c>
      <c r="N10" s="113" t="s">
        <v>70</v>
      </c>
      <c r="O10" s="113" t="s">
        <v>80</v>
      </c>
      <c r="P10" s="75" t="s">
        <v>59</v>
      </c>
    </row>
    <row r="11" spans="1:16" s="100" customFormat="1" ht="23.25">
      <c r="A11" s="85" t="s">
        <v>26</v>
      </c>
      <c r="B11" s="102"/>
      <c r="C11" s="86">
        <v>1</v>
      </c>
      <c r="D11" s="87">
        <v>62647</v>
      </c>
      <c r="E11" s="101">
        <v>1</v>
      </c>
      <c r="F11" s="103">
        <v>61232</v>
      </c>
      <c r="G11" s="86"/>
      <c r="H11" s="86"/>
      <c r="I11" s="88">
        <v>0.5</v>
      </c>
      <c r="J11" s="87">
        <v>29642</v>
      </c>
      <c r="K11" s="87">
        <v>2655</v>
      </c>
      <c r="L11" s="87">
        <f>(J11+H11)*0.25</f>
        <v>7410.5</v>
      </c>
      <c r="M11" s="87">
        <f>(L11+J11+H11+F11+D11)*0.1</f>
        <v>16093.150000000001</v>
      </c>
      <c r="N11" s="88">
        <f t="shared" ref="N11:N20" si="0">I11+G11+E11+C11</f>
        <v>2.5</v>
      </c>
      <c r="O11" s="87">
        <f>L11+J11+H11+F11+D11+K11+M11</f>
        <v>179679.65</v>
      </c>
      <c r="P11" s="98">
        <f>(O11*12)/1000</f>
        <v>2156.1558</v>
      </c>
    </row>
    <row r="12" spans="1:16" s="100" customFormat="1">
      <c r="A12" s="86" t="s">
        <v>27</v>
      </c>
      <c r="B12" s="86"/>
      <c r="C12" s="87">
        <v>1</v>
      </c>
      <c r="D12" s="87">
        <v>64594</v>
      </c>
      <c r="E12" s="101">
        <v>1</v>
      </c>
      <c r="F12" s="101">
        <v>81583</v>
      </c>
      <c r="G12" s="86">
        <v>1</v>
      </c>
      <c r="H12" s="87">
        <v>61940</v>
      </c>
      <c r="I12" s="86">
        <v>0.5</v>
      </c>
      <c r="J12" s="87">
        <v>30970</v>
      </c>
      <c r="K12" s="87">
        <v>2655</v>
      </c>
      <c r="L12" s="87">
        <f t="shared" ref="L12:L20" si="1">(J12+H12)*0.25</f>
        <v>23227.5</v>
      </c>
      <c r="M12" s="87">
        <f t="shared" ref="M12:M20" si="2">(L12+J12+H12+F12+D12)*0.1</f>
        <v>26231.45</v>
      </c>
      <c r="N12" s="88">
        <f t="shared" si="0"/>
        <v>3.5</v>
      </c>
      <c r="O12" s="87">
        <f t="shared" ref="O12:O20" si="3">L12+J12+H12+F12+D12+K12+M12</f>
        <v>291200.95</v>
      </c>
      <c r="P12" s="98">
        <f t="shared" ref="P12:P20" si="4">(O12*12)/1000</f>
        <v>3494.4114000000004</v>
      </c>
    </row>
    <row r="13" spans="1:16" s="227" customFormat="1">
      <c r="A13" s="224" t="s">
        <v>28</v>
      </c>
      <c r="B13" s="224"/>
      <c r="C13" s="224">
        <v>1</v>
      </c>
      <c r="D13" s="84">
        <v>65125</v>
      </c>
      <c r="E13" s="225"/>
      <c r="F13" s="225"/>
      <c r="G13" s="224"/>
      <c r="H13" s="84"/>
      <c r="I13" s="72">
        <v>1</v>
      </c>
      <c r="J13" s="84">
        <v>65125</v>
      </c>
      <c r="K13" s="84">
        <v>5309</v>
      </c>
      <c r="L13" s="84">
        <f t="shared" si="1"/>
        <v>16281.25</v>
      </c>
      <c r="M13" s="84">
        <f t="shared" si="2"/>
        <v>14653.125</v>
      </c>
      <c r="N13" s="72">
        <f t="shared" si="0"/>
        <v>2</v>
      </c>
      <c r="O13" s="84">
        <f t="shared" si="3"/>
        <v>166493.375</v>
      </c>
      <c r="P13" s="226">
        <f t="shared" si="4"/>
        <v>1997.9204999999999</v>
      </c>
    </row>
    <row r="14" spans="1:16" s="227" customFormat="1">
      <c r="A14" s="224" t="s">
        <v>29</v>
      </c>
      <c r="B14" s="224"/>
      <c r="C14" s="224"/>
      <c r="D14" s="84"/>
      <c r="E14" s="249"/>
      <c r="F14" s="225"/>
      <c r="G14" s="224">
        <v>1</v>
      </c>
      <c r="H14" s="84">
        <v>78929</v>
      </c>
      <c r="I14" s="224">
        <v>1</v>
      </c>
      <c r="J14" s="84">
        <v>93971</v>
      </c>
      <c r="K14" s="84">
        <v>5309</v>
      </c>
      <c r="L14" s="84">
        <f>(J14+H14)*0.25</f>
        <v>43225</v>
      </c>
      <c r="M14" s="84">
        <f>(L14+J14+H14+F14+D14)*0.1</f>
        <v>21612.5</v>
      </c>
      <c r="N14" s="72">
        <f t="shared" si="0"/>
        <v>2</v>
      </c>
      <c r="O14" s="84">
        <f>L14+J14+H14+F14+D14+K14+M14</f>
        <v>243046.5</v>
      </c>
      <c r="P14" s="226">
        <f t="shared" si="4"/>
        <v>2916.558</v>
      </c>
    </row>
    <row r="15" spans="1:16" s="227" customFormat="1">
      <c r="A15" s="224" t="s">
        <v>30</v>
      </c>
      <c r="B15" s="224"/>
      <c r="C15" s="224">
        <v>1</v>
      </c>
      <c r="D15" s="84">
        <v>62647</v>
      </c>
      <c r="E15" s="225"/>
      <c r="F15" s="225"/>
      <c r="G15" s="224">
        <v>1</v>
      </c>
      <c r="H15" s="84">
        <v>58577</v>
      </c>
      <c r="I15" s="72">
        <v>1</v>
      </c>
      <c r="J15" s="84">
        <v>42738</v>
      </c>
      <c r="K15" s="84">
        <v>2655</v>
      </c>
      <c r="L15" s="84">
        <f>(J15+H15)*0.25</f>
        <v>25328.75</v>
      </c>
      <c r="M15" s="84">
        <f>(L15+J15+H15+F15+D15)*0.1</f>
        <v>18929.075000000001</v>
      </c>
      <c r="N15" s="72">
        <f t="shared" si="0"/>
        <v>3</v>
      </c>
      <c r="O15" s="84">
        <f>L15+J15+H15+F15+D15+K15+M15</f>
        <v>210874.82500000001</v>
      </c>
      <c r="P15" s="226">
        <f t="shared" si="4"/>
        <v>2530.4979000000003</v>
      </c>
    </row>
    <row r="16" spans="1:16" s="227" customFormat="1">
      <c r="A16" s="224" t="s">
        <v>31</v>
      </c>
      <c r="B16" s="224"/>
      <c r="C16" s="224">
        <v>1</v>
      </c>
      <c r="D16" s="84">
        <v>64594</v>
      </c>
      <c r="E16" s="225"/>
      <c r="F16" s="225"/>
      <c r="G16" s="224"/>
      <c r="H16" s="84"/>
      <c r="I16" s="72">
        <v>0.5</v>
      </c>
      <c r="J16" s="84">
        <v>30350</v>
      </c>
      <c r="K16" s="84">
        <v>2655</v>
      </c>
      <c r="L16" s="84">
        <f t="shared" si="1"/>
        <v>7587.5</v>
      </c>
      <c r="M16" s="84">
        <f t="shared" si="2"/>
        <v>10253.150000000001</v>
      </c>
      <c r="N16" s="72">
        <f t="shared" si="0"/>
        <v>1.5</v>
      </c>
      <c r="O16" s="84">
        <f t="shared" si="3"/>
        <v>115439.65</v>
      </c>
      <c r="P16" s="226">
        <f t="shared" si="4"/>
        <v>1385.2757999999999</v>
      </c>
    </row>
    <row r="17" spans="1:16" s="227" customFormat="1">
      <c r="A17" s="224" t="s">
        <v>32</v>
      </c>
      <c r="B17" s="224"/>
      <c r="C17" s="224"/>
      <c r="D17" s="84"/>
      <c r="E17" s="249"/>
      <c r="F17" s="225"/>
      <c r="G17" s="224"/>
      <c r="H17" s="84"/>
      <c r="I17" s="72">
        <v>1</v>
      </c>
      <c r="J17" s="84">
        <v>84061</v>
      </c>
      <c r="K17" s="84">
        <v>5309</v>
      </c>
      <c r="L17" s="84">
        <f t="shared" si="1"/>
        <v>21015.25</v>
      </c>
      <c r="M17" s="84">
        <f t="shared" si="2"/>
        <v>10507.625</v>
      </c>
      <c r="N17" s="72">
        <f t="shared" si="0"/>
        <v>1</v>
      </c>
      <c r="O17" s="84">
        <f t="shared" si="3"/>
        <v>120892.875</v>
      </c>
      <c r="P17" s="226">
        <f t="shared" si="4"/>
        <v>1450.7145</v>
      </c>
    </row>
    <row r="18" spans="1:16" s="227" customFormat="1">
      <c r="A18" s="224" t="s">
        <v>33</v>
      </c>
      <c r="B18" s="224"/>
      <c r="C18" s="224">
        <v>1</v>
      </c>
      <c r="D18" s="84">
        <v>63886</v>
      </c>
      <c r="E18" s="225"/>
      <c r="F18" s="225"/>
      <c r="G18" s="224"/>
      <c r="H18" s="84"/>
      <c r="I18" s="224">
        <v>0.5</v>
      </c>
      <c r="J18" s="84">
        <v>39464</v>
      </c>
      <c r="K18" s="84">
        <v>2655</v>
      </c>
      <c r="L18" s="84">
        <f t="shared" si="1"/>
        <v>9866</v>
      </c>
      <c r="M18" s="84">
        <f t="shared" si="2"/>
        <v>11321.6</v>
      </c>
      <c r="N18" s="72">
        <f t="shared" si="0"/>
        <v>1.5</v>
      </c>
      <c r="O18" s="84">
        <f>L18+J18+H18+F18+D18+K18+M18</f>
        <v>127192.6</v>
      </c>
      <c r="P18" s="226">
        <f t="shared" si="4"/>
        <v>1526.3112000000001</v>
      </c>
    </row>
    <row r="19" spans="1:16" s="227" customFormat="1">
      <c r="A19" s="224" t="s">
        <v>34</v>
      </c>
      <c r="B19" s="224"/>
      <c r="C19" s="224">
        <v>1</v>
      </c>
      <c r="D19" s="84">
        <v>65125</v>
      </c>
      <c r="E19" s="225"/>
      <c r="F19" s="225"/>
      <c r="G19" s="224"/>
      <c r="H19" s="84"/>
      <c r="I19" s="72">
        <v>0.5</v>
      </c>
      <c r="J19" s="84">
        <v>39907</v>
      </c>
      <c r="K19" s="84">
        <v>2655</v>
      </c>
      <c r="L19" s="84">
        <f t="shared" si="1"/>
        <v>9976.75</v>
      </c>
      <c r="M19" s="84">
        <f t="shared" si="2"/>
        <v>11500.875</v>
      </c>
      <c r="N19" s="72">
        <f t="shared" si="0"/>
        <v>1.5</v>
      </c>
      <c r="O19" s="84">
        <f t="shared" si="3"/>
        <v>129164.625</v>
      </c>
      <c r="P19" s="226">
        <f t="shared" si="4"/>
        <v>1549.9755</v>
      </c>
    </row>
    <row r="20" spans="1:16" s="227" customFormat="1">
      <c r="A20" s="224" t="s">
        <v>35</v>
      </c>
      <c r="B20" s="224"/>
      <c r="C20" s="224">
        <v>0</v>
      </c>
      <c r="D20" s="84">
        <v>0</v>
      </c>
      <c r="E20" s="249">
        <v>1</v>
      </c>
      <c r="F20" s="225">
        <v>72558</v>
      </c>
      <c r="G20" s="224">
        <v>0</v>
      </c>
      <c r="H20" s="84">
        <v>0</v>
      </c>
      <c r="I20" s="72">
        <v>1</v>
      </c>
      <c r="J20" s="84">
        <v>78575</v>
      </c>
      <c r="K20" s="84">
        <v>5309</v>
      </c>
      <c r="L20" s="84">
        <f t="shared" si="1"/>
        <v>19643.75</v>
      </c>
      <c r="M20" s="84">
        <f t="shared" si="2"/>
        <v>17077.674999999999</v>
      </c>
      <c r="N20" s="72">
        <f t="shared" si="0"/>
        <v>2</v>
      </c>
      <c r="O20" s="84">
        <f t="shared" si="3"/>
        <v>193163.42499999999</v>
      </c>
      <c r="P20" s="226">
        <f t="shared" si="4"/>
        <v>2317.9610999999995</v>
      </c>
    </row>
    <row r="21" spans="1:16">
      <c r="A21" s="74" t="s">
        <v>72</v>
      </c>
      <c r="B21" s="75">
        <f>SUM(B11:B20)</f>
        <v>0</v>
      </c>
      <c r="C21" s="75">
        <f>SUM(C11:C20)</f>
        <v>7</v>
      </c>
      <c r="D21" s="75">
        <f>SUM(D11:D20)</f>
        <v>448618</v>
      </c>
      <c r="E21" s="74">
        <f t="shared" ref="E21:P21" si="5">SUM(E11:E20)</f>
        <v>3</v>
      </c>
      <c r="F21" s="75">
        <f>SUM(F11:F20)</f>
        <v>215373</v>
      </c>
      <c r="G21" s="74">
        <f t="shared" si="5"/>
        <v>3</v>
      </c>
      <c r="H21" s="75">
        <f t="shared" si="5"/>
        <v>199446</v>
      </c>
      <c r="I21" s="74">
        <f t="shared" si="5"/>
        <v>7.5</v>
      </c>
      <c r="J21" s="75">
        <f t="shared" si="5"/>
        <v>534803</v>
      </c>
      <c r="K21" s="75">
        <f t="shared" si="5"/>
        <v>37166</v>
      </c>
      <c r="L21" s="75">
        <f t="shared" si="5"/>
        <v>183562.25</v>
      </c>
      <c r="M21" s="75">
        <f t="shared" si="5"/>
        <v>158180.22500000001</v>
      </c>
      <c r="N21" s="74">
        <f>SUM(N11:N20)</f>
        <v>20.5</v>
      </c>
      <c r="O21" s="75">
        <f>SUM(O11:O20)</f>
        <v>1777148.4750000001</v>
      </c>
      <c r="P21" s="76">
        <f t="shared" si="5"/>
        <v>21325.7817</v>
      </c>
    </row>
    <row r="22" spans="1:16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1:16">
      <c r="A23" s="71"/>
      <c r="B23" s="71"/>
      <c r="C23" s="71"/>
      <c r="D23" s="4" t="s">
        <v>37</v>
      </c>
      <c r="E23" s="4"/>
      <c r="F23" s="4"/>
      <c r="G23" s="4"/>
      <c r="H23" s="194"/>
      <c r="I23" s="15"/>
      <c r="J23" s="15" t="s">
        <v>38</v>
      </c>
      <c r="K23" s="62"/>
      <c r="L23" s="3"/>
      <c r="M23" s="3"/>
      <c r="N23" s="71"/>
      <c r="O23" s="71"/>
      <c r="P23" s="71"/>
    </row>
    <row r="24" spans="1:16">
      <c r="A24" s="71"/>
      <c r="B24" s="71"/>
      <c r="C24" s="71"/>
      <c r="D24" s="3"/>
      <c r="E24" s="3"/>
      <c r="F24" s="66"/>
      <c r="G24" s="3"/>
      <c r="H24" s="63"/>
      <c r="I24" s="63"/>
      <c r="J24" s="63"/>
      <c r="K24" s="3"/>
      <c r="L24" s="3"/>
      <c r="M24" s="3"/>
      <c r="N24" s="71"/>
      <c r="O24" s="71"/>
      <c r="P24" s="71"/>
    </row>
    <row r="25" spans="1:16">
      <c r="A25" s="71"/>
      <c r="B25" s="71"/>
      <c r="C25" s="71"/>
      <c r="D25" s="62" t="s">
        <v>39</v>
      </c>
      <c r="E25" s="62"/>
      <c r="F25" s="215"/>
      <c r="G25" s="62"/>
      <c r="H25" s="15"/>
      <c r="I25" s="15"/>
      <c r="J25" s="15" t="s">
        <v>99</v>
      </c>
      <c r="K25" s="62"/>
      <c r="L25" s="3"/>
      <c r="M25" s="3"/>
      <c r="N25" s="71"/>
      <c r="O25" s="71"/>
      <c r="P25" s="71"/>
    </row>
  </sheetData>
  <mergeCells count="4">
    <mergeCell ref="C5:D5"/>
    <mergeCell ref="C7:M7"/>
    <mergeCell ref="C8:N8"/>
    <mergeCell ref="C9:N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5"/>
  <sheetViews>
    <sheetView view="pageBreakPreview" zoomScale="124" zoomScaleSheetLayoutView="124" workbookViewId="0">
      <selection activeCell="H11" sqref="H11"/>
    </sheetView>
  </sheetViews>
  <sheetFormatPr defaultRowHeight="15"/>
  <cols>
    <col min="1" max="1" width="16.42578125" customWidth="1"/>
    <col min="2" max="2" width="5.42578125" customWidth="1"/>
    <col min="4" max="4" width="4.85546875" customWidth="1"/>
    <col min="6" max="6" width="5.7109375" customWidth="1"/>
    <col min="7" max="7" width="7.140625" customWidth="1"/>
  </cols>
  <sheetData>
    <row r="1" spans="1:12">
      <c r="A1" s="69"/>
      <c r="B1" s="69"/>
      <c r="D1" s="61"/>
      <c r="E1" s="61"/>
      <c r="F1" s="61"/>
      <c r="H1" s="61" t="s">
        <v>40</v>
      </c>
      <c r="I1" s="61"/>
      <c r="J1" s="61"/>
      <c r="K1" s="61"/>
    </row>
    <row r="2" spans="1:12">
      <c r="A2" s="69"/>
      <c r="B2" s="69"/>
      <c r="D2" s="61"/>
      <c r="E2" s="61"/>
      <c r="F2" s="61"/>
      <c r="H2" s="69" t="s">
        <v>124</v>
      </c>
      <c r="I2" s="69"/>
      <c r="J2" s="69"/>
      <c r="K2" s="69"/>
      <c r="L2" s="105"/>
    </row>
    <row r="3" spans="1:12">
      <c r="A3" s="69"/>
      <c r="B3" s="69"/>
      <c r="D3" s="201"/>
      <c r="E3" s="201"/>
      <c r="F3" s="201"/>
      <c r="H3" s="202" t="s">
        <v>158</v>
      </c>
      <c r="I3" s="202"/>
      <c r="J3" s="202"/>
      <c r="K3" s="202"/>
      <c r="L3" s="105"/>
    </row>
    <row r="4" spans="1:12">
      <c r="A4" s="69"/>
      <c r="B4" s="69"/>
      <c r="D4" s="61"/>
      <c r="E4" s="61"/>
      <c r="F4" s="61"/>
      <c r="H4" s="69" t="s">
        <v>98</v>
      </c>
      <c r="I4" s="69"/>
      <c r="J4" s="69"/>
      <c r="K4" s="69"/>
      <c r="L4" s="61"/>
    </row>
    <row r="5" spans="1:12">
      <c r="A5" s="69"/>
      <c r="B5" s="69"/>
      <c r="D5" s="61"/>
      <c r="E5" s="61"/>
      <c r="F5" s="61"/>
      <c r="H5" s="69" t="s">
        <v>60</v>
      </c>
      <c r="I5" s="69"/>
      <c r="J5" s="69"/>
      <c r="K5" s="69"/>
      <c r="L5" s="105"/>
    </row>
    <row r="6" spans="1:12">
      <c r="A6" s="293" t="s">
        <v>81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2">
      <c r="A7" s="293" t="s">
        <v>62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2">
      <c r="A8" s="293" t="s">
        <v>142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</row>
    <row r="9" spans="1:12">
      <c r="A9" s="70"/>
      <c r="B9" s="70"/>
      <c r="C9" s="70"/>
      <c r="D9" s="70"/>
      <c r="E9" s="70"/>
      <c r="F9" s="70"/>
      <c r="G9" s="70"/>
      <c r="H9" s="70"/>
      <c r="I9" s="70"/>
      <c r="J9" s="70"/>
      <c r="K9" s="56"/>
    </row>
    <row r="10" spans="1:12" ht="33">
      <c r="A10" s="112" t="s">
        <v>63</v>
      </c>
      <c r="B10" s="120" t="s">
        <v>44</v>
      </c>
      <c r="C10" s="121" t="s">
        <v>82</v>
      </c>
      <c r="D10" s="114" t="s">
        <v>44</v>
      </c>
      <c r="E10" s="113" t="s">
        <v>83</v>
      </c>
      <c r="F10" s="116" t="s">
        <v>44</v>
      </c>
      <c r="G10" s="116" t="s">
        <v>84</v>
      </c>
      <c r="H10" s="113" t="s">
        <v>70</v>
      </c>
      <c r="I10" s="117" t="s">
        <v>50</v>
      </c>
      <c r="J10" s="113" t="s">
        <v>80</v>
      </c>
      <c r="K10" s="75" t="s">
        <v>59</v>
      </c>
      <c r="L10" s="73"/>
    </row>
    <row r="11" spans="1:12" s="100" customFormat="1">
      <c r="A11" s="85" t="s">
        <v>26</v>
      </c>
      <c r="B11" s="86"/>
      <c r="C11" s="86"/>
      <c r="D11" s="88">
        <v>0.5</v>
      </c>
      <c r="E11" s="87">
        <v>17785</v>
      </c>
      <c r="F11" s="101">
        <v>0</v>
      </c>
      <c r="G11" s="101"/>
      <c r="H11" s="88">
        <f>F11+D11+B11</f>
        <v>0.5</v>
      </c>
      <c r="I11" s="87">
        <f>(G11+E11+C11)*0.1</f>
        <v>1778.5</v>
      </c>
      <c r="J11" s="87">
        <f>G11+E11+C11+I11</f>
        <v>19563.5</v>
      </c>
      <c r="K11" s="98">
        <f>(J11*12)/1000</f>
        <v>234.762</v>
      </c>
      <c r="L11" s="60"/>
    </row>
    <row r="12" spans="1:12" s="227" customFormat="1">
      <c r="A12" s="224" t="s">
        <v>27</v>
      </c>
      <c r="B12" s="224">
        <v>0.5</v>
      </c>
      <c r="C12" s="84">
        <v>14512</v>
      </c>
      <c r="D12" s="224">
        <v>0.5</v>
      </c>
      <c r="E12" s="84">
        <v>18228</v>
      </c>
      <c r="F12" s="225">
        <v>0</v>
      </c>
      <c r="G12" s="225"/>
      <c r="H12" s="72">
        <f t="shared" ref="H12:H20" si="0">F12+D12+B12</f>
        <v>1</v>
      </c>
      <c r="I12" s="84">
        <f t="shared" ref="I12:I20" si="1">(G12+E12+C12)*0.1</f>
        <v>3274</v>
      </c>
      <c r="J12" s="84">
        <f t="shared" ref="J12:J20" si="2">G12+E12+C12+I12</f>
        <v>36014</v>
      </c>
      <c r="K12" s="226">
        <f t="shared" ref="K12:K20" si="3">(J12*12)/1000</f>
        <v>432.16800000000001</v>
      </c>
      <c r="L12" s="59"/>
    </row>
    <row r="13" spans="1:12" s="227" customFormat="1">
      <c r="A13" s="224" t="s">
        <v>28</v>
      </c>
      <c r="B13" s="224"/>
      <c r="C13" s="84"/>
      <c r="D13" s="72">
        <v>1</v>
      </c>
      <c r="E13" s="84">
        <v>32562</v>
      </c>
      <c r="F13" s="225">
        <v>0</v>
      </c>
      <c r="G13" s="225"/>
      <c r="H13" s="72">
        <f t="shared" si="0"/>
        <v>1</v>
      </c>
      <c r="I13" s="84">
        <f t="shared" si="1"/>
        <v>3256.2000000000003</v>
      </c>
      <c r="J13" s="84">
        <f t="shared" si="2"/>
        <v>35818.199999999997</v>
      </c>
      <c r="K13" s="226">
        <f t="shared" si="3"/>
        <v>429.81839999999994</v>
      </c>
      <c r="L13" s="59"/>
    </row>
    <row r="14" spans="1:12" s="227" customFormat="1">
      <c r="A14" s="224" t="s">
        <v>29</v>
      </c>
      <c r="B14" s="224">
        <v>1</v>
      </c>
      <c r="C14" s="84">
        <v>29023</v>
      </c>
      <c r="D14" s="224">
        <v>1</v>
      </c>
      <c r="E14" s="84">
        <v>30439</v>
      </c>
      <c r="F14" s="225">
        <v>1</v>
      </c>
      <c r="G14" s="225">
        <v>29023</v>
      </c>
      <c r="H14" s="72">
        <f t="shared" si="0"/>
        <v>3</v>
      </c>
      <c r="I14" s="84">
        <f t="shared" si="1"/>
        <v>8848.5</v>
      </c>
      <c r="J14" s="84">
        <f t="shared" si="2"/>
        <v>97333.5</v>
      </c>
      <c r="K14" s="226">
        <f t="shared" si="3"/>
        <v>1168.002</v>
      </c>
      <c r="L14" s="59"/>
    </row>
    <row r="15" spans="1:12" s="227" customFormat="1">
      <c r="A15" s="224" t="s">
        <v>30</v>
      </c>
      <c r="B15" s="224">
        <v>0.5</v>
      </c>
      <c r="C15" s="84">
        <v>18228</v>
      </c>
      <c r="D15" s="72">
        <v>1</v>
      </c>
      <c r="E15" s="84">
        <v>15219</v>
      </c>
      <c r="F15" s="225"/>
      <c r="G15" s="225"/>
      <c r="H15" s="72">
        <f t="shared" si="0"/>
        <v>1.5</v>
      </c>
      <c r="I15" s="84">
        <f t="shared" si="1"/>
        <v>3344.7000000000003</v>
      </c>
      <c r="J15" s="84">
        <f t="shared" si="2"/>
        <v>36791.699999999997</v>
      </c>
      <c r="K15" s="226">
        <f t="shared" si="3"/>
        <v>441.50039999999996</v>
      </c>
      <c r="L15" s="59"/>
    </row>
    <row r="16" spans="1:12" s="227" customFormat="1">
      <c r="A16" s="224" t="s">
        <v>31</v>
      </c>
      <c r="B16" s="224">
        <v>1</v>
      </c>
      <c r="C16" s="84">
        <v>44596</v>
      </c>
      <c r="D16" s="72">
        <v>0.5</v>
      </c>
      <c r="E16" s="84">
        <v>16281</v>
      </c>
      <c r="F16" s="225"/>
      <c r="G16" s="225"/>
      <c r="H16" s="72">
        <f t="shared" si="0"/>
        <v>1.5</v>
      </c>
      <c r="I16" s="84">
        <f t="shared" si="1"/>
        <v>6087.7000000000007</v>
      </c>
      <c r="J16" s="84">
        <f t="shared" si="2"/>
        <v>66964.7</v>
      </c>
      <c r="K16" s="226">
        <f t="shared" si="3"/>
        <v>803.57639999999992</v>
      </c>
      <c r="L16" s="59"/>
    </row>
    <row r="17" spans="1:12" s="227" customFormat="1">
      <c r="A17" s="224" t="s">
        <v>32</v>
      </c>
      <c r="B17" s="224">
        <v>2.2000000000000002</v>
      </c>
      <c r="C17" s="84">
        <v>72026</v>
      </c>
      <c r="D17" s="72">
        <v>1</v>
      </c>
      <c r="E17" s="84">
        <v>32562</v>
      </c>
      <c r="F17" s="225">
        <v>1</v>
      </c>
      <c r="G17" s="225">
        <v>36456</v>
      </c>
      <c r="H17" s="72">
        <f t="shared" si="0"/>
        <v>4.2</v>
      </c>
      <c r="I17" s="84">
        <f t="shared" si="1"/>
        <v>14104.400000000001</v>
      </c>
      <c r="J17" s="84">
        <f t="shared" si="2"/>
        <v>155148.4</v>
      </c>
      <c r="K17" s="226">
        <f t="shared" si="3"/>
        <v>1861.7807999999998</v>
      </c>
      <c r="L17" s="59"/>
    </row>
    <row r="18" spans="1:12" s="227" customFormat="1">
      <c r="A18" s="224" t="s">
        <v>33</v>
      </c>
      <c r="B18" s="224"/>
      <c r="C18" s="84"/>
      <c r="D18" s="224">
        <v>0.5</v>
      </c>
      <c r="E18" s="84">
        <v>16281</v>
      </c>
      <c r="F18" s="225"/>
      <c r="G18" s="225"/>
      <c r="H18" s="72">
        <f t="shared" si="0"/>
        <v>0.5</v>
      </c>
      <c r="I18" s="84">
        <f t="shared" si="1"/>
        <v>1628.1000000000001</v>
      </c>
      <c r="J18" s="84">
        <f t="shared" si="2"/>
        <v>17909.099999999999</v>
      </c>
      <c r="K18" s="226">
        <f t="shared" si="3"/>
        <v>214.90919999999997</v>
      </c>
      <c r="L18" s="59"/>
    </row>
    <row r="19" spans="1:12" s="227" customFormat="1">
      <c r="A19" s="224" t="s">
        <v>34</v>
      </c>
      <c r="B19" s="224"/>
      <c r="C19" s="84"/>
      <c r="D19" s="72">
        <v>1</v>
      </c>
      <c r="E19" s="84">
        <v>16635</v>
      </c>
      <c r="F19" s="225">
        <v>0</v>
      </c>
      <c r="G19" s="225"/>
      <c r="H19" s="72">
        <f t="shared" si="0"/>
        <v>1</v>
      </c>
      <c r="I19" s="84">
        <f t="shared" si="1"/>
        <v>1663.5</v>
      </c>
      <c r="J19" s="84">
        <f t="shared" si="2"/>
        <v>18298.5</v>
      </c>
      <c r="K19" s="226">
        <f t="shared" si="3"/>
        <v>219.58199999999999</v>
      </c>
      <c r="L19" s="59"/>
    </row>
    <row r="20" spans="1:12" s="227" customFormat="1">
      <c r="A20" s="224" t="s">
        <v>35</v>
      </c>
      <c r="B20" s="224">
        <v>0</v>
      </c>
      <c r="C20" s="84"/>
      <c r="D20" s="72">
        <v>1</v>
      </c>
      <c r="E20" s="84">
        <v>30439</v>
      </c>
      <c r="F20" s="225">
        <v>1</v>
      </c>
      <c r="G20" s="225">
        <v>29023</v>
      </c>
      <c r="H20" s="72">
        <f t="shared" si="0"/>
        <v>2</v>
      </c>
      <c r="I20" s="84">
        <f t="shared" si="1"/>
        <v>5946.2000000000007</v>
      </c>
      <c r="J20" s="84">
        <f t="shared" si="2"/>
        <v>65408.2</v>
      </c>
      <c r="K20" s="226">
        <f t="shared" si="3"/>
        <v>784.89839999999992</v>
      </c>
      <c r="L20" s="59"/>
    </row>
    <row r="21" spans="1:12">
      <c r="A21" s="74" t="s">
        <v>72</v>
      </c>
      <c r="B21" s="74">
        <f>SUM(B11:B20)</f>
        <v>5.2</v>
      </c>
      <c r="C21" s="75">
        <f t="shared" ref="C21:G21" si="4">SUM(C11:C20)</f>
        <v>178385</v>
      </c>
      <c r="D21" s="74">
        <f t="shared" si="4"/>
        <v>8</v>
      </c>
      <c r="E21" s="75">
        <f t="shared" si="4"/>
        <v>226431</v>
      </c>
      <c r="F21" s="75">
        <f t="shared" si="4"/>
        <v>3</v>
      </c>
      <c r="G21" s="75">
        <f t="shared" si="4"/>
        <v>94502</v>
      </c>
      <c r="H21" s="72">
        <f>SUM(H11:H20)</f>
        <v>16.2</v>
      </c>
      <c r="I21" s="75">
        <f>SUM(I11:I20)</f>
        <v>49931.8</v>
      </c>
      <c r="J21" s="84">
        <f>SUM(J11:J20)</f>
        <v>549249.79999999993</v>
      </c>
      <c r="K21" s="76">
        <f>SUM(K11:K20)</f>
        <v>6590.9975999999997</v>
      </c>
      <c r="L21" s="59"/>
    </row>
    <row r="22" spans="1:12">
      <c r="A22" s="71"/>
      <c r="B22" s="71"/>
      <c r="C22" s="71"/>
      <c r="D22" s="71"/>
      <c r="E22" s="71"/>
      <c r="F22" s="71"/>
      <c r="G22" s="71"/>
      <c r="H22" s="71"/>
      <c r="I22" s="71"/>
      <c r="J22" s="195"/>
      <c r="K22" s="71"/>
    </row>
    <row r="23" spans="1:12">
      <c r="A23" s="71"/>
      <c r="B23" s="4" t="s">
        <v>37</v>
      </c>
      <c r="C23" s="4"/>
      <c r="D23" s="4"/>
      <c r="E23" s="4"/>
      <c r="F23" s="65"/>
      <c r="G23" s="15"/>
      <c r="H23" s="15" t="s">
        <v>38</v>
      </c>
      <c r="I23" s="15"/>
      <c r="J23" s="62"/>
      <c r="K23" s="71"/>
    </row>
    <row r="24" spans="1:12">
      <c r="A24" s="71"/>
      <c r="B24" s="3"/>
      <c r="C24" s="3"/>
      <c r="D24" s="66"/>
      <c r="E24" s="3"/>
      <c r="F24" s="63"/>
      <c r="G24" s="63"/>
      <c r="H24" s="63"/>
      <c r="I24" s="63"/>
      <c r="J24" s="3"/>
      <c r="K24" s="71"/>
    </row>
    <row r="25" spans="1:12">
      <c r="A25" s="71"/>
      <c r="B25" s="62" t="s">
        <v>39</v>
      </c>
      <c r="C25" s="62"/>
      <c r="D25" s="64"/>
      <c r="E25" s="62"/>
      <c r="F25" s="15"/>
      <c r="G25" s="15"/>
      <c r="H25" s="15" t="s">
        <v>99</v>
      </c>
      <c r="I25" s="15"/>
      <c r="J25" s="62"/>
      <c r="K25" s="71"/>
    </row>
  </sheetData>
  <mergeCells count="3">
    <mergeCell ref="A8:K8"/>
    <mergeCell ref="A7:K7"/>
    <mergeCell ref="A6:J6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5"/>
  <sheetViews>
    <sheetView view="pageBreakPreview" zoomScale="124" zoomScaleSheetLayoutView="124" workbookViewId="0">
      <selection activeCell="H3" sqref="H3"/>
    </sheetView>
  </sheetViews>
  <sheetFormatPr defaultRowHeight="15"/>
  <cols>
    <col min="1" max="1" width="16.42578125" customWidth="1"/>
    <col min="2" max="2" width="5.42578125" customWidth="1"/>
    <col min="4" max="4" width="4.85546875" customWidth="1"/>
    <col min="6" max="6" width="5.7109375" customWidth="1"/>
    <col min="7" max="7" width="7.140625" customWidth="1"/>
  </cols>
  <sheetData>
    <row r="1" spans="1:12">
      <c r="A1" s="69"/>
      <c r="B1" s="69"/>
      <c r="D1" s="61"/>
      <c r="E1" s="61"/>
      <c r="F1" s="61"/>
      <c r="H1" s="61" t="s">
        <v>40</v>
      </c>
      <c r="I1" s="61"/>
      <c r="J1" s="61"/>
      <c r="K1" s="61"/>
    </row>
    <row r="2" spans="1:12">
      <c r="A2" s="69"/>
      <c r="B2" s="69"/>
      <c r="D2" s="61"/>
      <c r="E2" s="61"/>
      <c r="F2" s="61"/>
      <c r="H2" s="69" t="s">
        <v>124</v>
      </c>
      <c r="I2" s="69"/>
      <c r="J2" s="69"/>
      <c r="K2" s="69"/>
      <c r="L2" s="105"/>
    </row>
    <row r="3" spans="1:12">
      <c r="A3" s="69"/>
      <c r="B3" s="69"/>
      <c r="D3" s="201"/>
      <c r="E3" s="201"/>
      <c r="F3" s="201"/>
      <c r="H3" s="202" t="s">
        <v>159</v>
      </c>
      <c r="I3" s="202"/>
      <c r="J3" s="202"/>
      <c r="K3" s="202"/>
      <c r="L3" s="105"/>
    </row>
    <row r="4" spans="1:12">
      <c r="A4" s="69"/>
      <c r="B4" s="69"/>
      <c r="D4" s="61"/>
      <c r="E4" s="61"/>
      <c r="F4" s="61"/>
      <c r="H4" s="69" t="s">
        <v>98</v>
      </c>
      <c r="I4" s="69"/>
      <c r="J4" s="69"/>
      <c r="K4" s="69"/>
      <c r="L4" s="61"/>
    </row>
    <row r="5" spans="1:12">
      <c r="A5" s="69"/>
      <c r="B5" s="69"/>
      <c r="D5" s="61"/>
      <c r="E5" s="61"/>
      <c r="F5" s="61"/>
      <c r="H5" s="69" t="s">
        <v>60</v>
      </c>
      <c r="I5" s="69"/>
      <c r="J5" s="69"/>
      <c r="K5" s="69"/>
      <c r="L5" s="105"/>
    </row>
    <row r="6" spans="1:12">
      <c r="A6" s="293" t="s">
        <v>81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2">
      <c r="A7" s="293" t="s">
        <v>62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2">
      <c r="A8" s="293" t="s">
        <v>142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</row>
    <row r="9" spans="1:12">
      <c r="A9" s="70"/>
      <c r="B9" s="70"/>
      <c r="C9" s="70"/>
      <c r="D9" s="70"/>
      <c r="E9" s="70"/>
      <c r="F9" s="70"/>
      <c r="G9" s="70"/>
      <c r="H9" s="70"/>
      <c r="I9" s="70"/>
      <c r="J9" s="70"/>
      <c r="K9" s="56"/>
    </row>
    <row r="10" spans="1:12" ht="33">
      <c r="A10" s="112" t="s">
        <v>63</v>
      </c>
      <c r="B10" s="120" t="s">
        <v>44</v>
      </c>
      <c r="C10" s="121" t="s">
        <v>82</v>
      </c>
      <c r="D10" s="114" t="s">
        <v>44</v>
      </c>
      <c r="E10" s="113" t="s">
        <v>83</v>
      </c>
      <c r="F10" s="116" t="s">
        <v>44</v>
      </c>
      <c r="G10" s="116" t="s">
        <v>84</v>
      </c>
      <c r="H10" s="113" t="s">
        <v>70</v>
      </c>
      <c r="I10" s="117" t="s">
        <v>50</v>
      </c>
      <c r="J10" s="113" t="s">
        <v>80</v>
      </c>
      <c r="K10" s="75" t="s">
        <v>59</v>
      </c>
      <c r="L10" s="73"/>
    </row>
    <row r="11" spans="1:12" s="100" customFormat="1">
      <c r="A11" s="85" t="s">
        <v>26</v>
      </c>
      <c r="B11" s="86"/>
      <c r="C11" s="86"/>
      <c r="D11" s="88">
        <v>0.5</v>
      </c>
      <c r="E11" s="87">
        <v>28758</v>
      </c>
      <c r="F11" s="101"/>
      <c r="G11" s="101"/>
      <c r="H11" s="88">
        <f>F11+D11+B11</f>
        <v>0.5</v>
      </c>
      <c r="I11" s="87">
        <f>(G11+E11+C11)*0.1</f>
        <v>2875.8</v>
      </c>
      <c r="J11" s="87">
        <f>G11+E11+C11+I11</f>
        <v>31633.8</v>
      </c>
      <c r="K11" s="98">
        <f>(J11*12)/1000</f>
        <v>379.60559999999998</v>
      </c>
      <c r="L11" s="60"/>
    </row>
    <row r="12" spans="1:12" s="100" customFormat="1">
      <c r="A12" s="86" t="s">
        <v>27</v>
      </c>
      <c r="B12" s="86">
        <v>0.5</v>
      </c>
      <c r="C12" s="87">
        <v>26015</v>
      </c>
      <c r="D12" s="86">
        <v>0.5</v>
      </c>
      <c r="E12" s="87">
        <v>29112</v>
      </c>
      <c r="F12" s="101"/>
      <c r="G12" s="101"/>
      <c r="H12" s="88">
        <f t="shared" ref="H12:H20" si="0">F12+D12+B12</f>
        <v>1</v>
      </c>
      <c r="I12" s="87">
        <f t="shared" ref="I12:I20" si="1">(G12+E12+C12)*0.1</f>
        <v>5512.7000000000007</v>
      </c>
      <c r="J12" s="87">
        <f t="shared" ref="J12:J20" si="2">G12+E12+C12+I12</f>
        <v>60639.7</v>
      </c>
      <c r="K12" s="98">
        <f t="shared" ref="K12:K20" si="3">(J12*12)/1000</f>
        <v>727.67639999999994</v>
      </c>
      <c r="L12" s="60"/>
    </row>
    <row r="13" spans="1:12" s="227" customFormat="1">
      <c r="A13" s="224" t="s">
        <v>28</v>
      </c>
      <c r="B13" s="224">
        <v>0</v>
      </c>
      <c r="C13" s="84">
        <v>0</v>
      </c>
      <c r="D13" s="72">
        <v>1</v>
      </c>
      <c r="E13" s="84">
        <v>55215</v>
      </c>
      <c r="F13" s="225">
        <v>0</v>
      </c>
      <c r="G13" s="225">
        <v>0</v>
      </c>
      <c r="H13" s="72">
        <f t="shared" si="0"/>
        <v>1</v>
      </c>
      <c r="I13" s="84">
        <f t="shared" si="1"/>
        <v>5521.5</v>
      </c>
      <c r="J13" s="84">
        <f t="shared" si="2"/>
        <v>60736.5</v>
      </c>
      <c r="K13" s="226">
        <f t="shared" si="3"/>
        <v>728.83799999999997</v>
      </c>
      <c r="L13" s="59"/>
    </row>
    <row r="14" spans="1:12" s="227" customFormat="1">
      <c r="A14" s="224" t="s">
        <v>29</v>
      </c>
      <c r="B14" s="224">
        <v>1</v>
      </c>
      <c r="C14" s="84">
        <v>52029</v>
      </c>
      <c r="D14" s="224">
        <v>1</v>
      </c>
      <c r="E14" s="84">
        <v>53003</v>
      </c>
      <c r="F14" s="225">
        <v>1</v>
      </c>
      <c r="G14" s="225">
        <v>52737</v>
      </c>
      <c r="H14" s="72">
        <f t="shared" si="0"/>
        <v>3</v>
      </c>
      <c r="I14" s="84">
        <f t="shared" si="1"/>
        <v>15776.900000000001</v>
      </c>
      <c r="J14" s="84">
        <f t="shared" si="2"/>
        <v>173545.9</v>
      </c>
      <c r="K14" s="226">
        <f t="shared" si="3"/>
        <v>2082.5508</v>
      </c>
      <c r="L14" s="59"/>
    </row>
    <row r="15" spans="1:12" s="227" customFormat="1">
      <c r="A15" s="224" t="s">
        <v>30</v>
      </c>
      <c r="B15" s="224">
        <v>0.5</v>
      </c>
      <c r="C15" s="84">
        <v>29112</v>
      </c>
      <c r="D15" s="72">
        <v>0.5</v>
      </c>
      <c r="E15" s="84">
        <v>26634</v>
      </c>
      <c r="F15" s="225"/>
      <c r="G15" s="225"/>
      <c r="H15" s="72">
        <f t="shared" si="0"/>
        <v>1</v>
      </c>
      <c r="I15" s="84">
        <f t="shared" si="1"/>
        <v>5574.6</v>
      </c>
      <c r="J15" s="84">
        <f t="shared" si="2"/>
        <v>61320.6</v>
      </c>
      <c r="K15" s="226">
        <f t="shared" si="3"/>
        <v>735.84719999999993</v>
      </c>
      <c r="L15" s="59"/>
    </row>
    <row r="16" spans="1:12" s="227" customFormat="1">
      <c r="A16" s="224" t="s">
        <v>31</v>
      </c>
      <c r="B16" s="224">
        <v>1</v>
      </c>
      <c r="C16" s="84">
        <v>55834</v>
      </c>
      <c r="D16" s="72">
        <v>0.5</v>
      </c>
      <c r="E16" s="84">
        <v>27607</v>
      </c>
      <c r="F16" s="225"/>
      <c r="G16" s="225"/>
      <c r="H16" s="72">
        <f t="shared" si="0"/>
        <v>1.5</v>
      </c>
      <c r="I16" s="84">
        <f t="shared" si="1"/>
        <v>8344.1</v>
      </c>
      <c r="J16" s="84">
        <f t="shared" si="2"/>
        <v>91785.1</v>
      </c>
      <c r="K16" s="226">
        <f t="shared" si="3"/>
        <v>1101.4212000000002</v>
      </c>
      <c r="L16" s="59"/>
    </row>
    <row r="17" spans="1:12" s="227" customFormat="1">
      <c r="A17" s="224" t="s">
        <v>32</v>
      </c>
      <c r="B17" s="224">
        <v>2.2000000000000002</v>
      </c>
      <c r="C17" s="84">
        <v>129258</v>
      </c>
      <c r="D17" s="72">
        <v>1</v>
      </c>
      <c r="E17" s="84">
        <v>55215</v>
      </c>
      <c r="F17" s="225">
        <v>1</v>
      </c>
      <c r="G17" s="225">
        <v>58223</v>
      </c>
      <c r="H17" s="72">
        <f t="shared" si="0"/>
        <v>4.2</v>
      </c>
      <c r="I17" s="84">
        <f t="shared" si="1"/>
        <v>24269.600000000002</v>
      </c>
      <c r="J17" s="84">
        <f t="shared" si="2"/>
        <v>266965.59999999998</v>
      </c>
      <c r="K17" s="226">
        <f t="shared" si="3"/>
        <v>3203.5871999999999</v>
      </c>
      <c r="L17" s="59"/>
    </row>
    <row r="18" spans="1:12" s="227" customFormat="1">
      <c r="A18" s="224" t="s">
        <v>33</v>
      </c>
      <c r="B18" s="224"/>
      <c r="C18" s="84"/>
      <c r="D18" s="224">
        <v>0.5</v>
      </c>
      <c r="E18" s="84">
        <v>27607</v>
      </c>
      <c r="F18" s="225"/>
      <c r="G18" s="225"/>
      <c r="H18" s="72">
        <f t="shared" si="0"/>
        <v>0.5</v>
      </c>
      <c r="I18" s="84">
        <f t="shared" si="1"/>
        <v>2760.7000000000003</v>
      </c>
      <c r="J18" s="84">
        <f t="shared" si="2"/>
        <v>30367.7</v>
      </c>
      <c r="K18" s="226">
        <f t="shared" si="3"/>
        <v>364.41240000000005</v>
      </c>
      <c r="L18" s="59"/>
    </row>
    <row r="19" spans="1:12" s="227" customFormat="1">
      <c r="A19" s="224" t="s">
        <v>34</v>
      </c>
      <c r="B19" s="224"/>
      <c r="C19" s="84"/>
      <c r="D19" s="72">
        <v>0.5</v>
      </c>
      <c r="E19" s="84">
        <v>27961</v>
      </c>
      <c r="F19" s="225"/>
      <c r="G19" s="225"/>
      <c r="H19" s="72">
        <f t="shared" si="0"/>
        <v>0.5</v>
      </c>
      <c r="I19" s="84">
        <f t="shared" si="1"/>
        <v>2796.1000000000004</v>
      </c>
      <c r="J19" s="84">
        <f t="shared" si="2"/>
        <v>30757.1</v>
      </c>
      <c r="K19" s="226">
        <f t="shared" si="3"/>
        <v>369.08519999999993</v>
      </c>
      <c r="L19" s="59"/>
    </row>
    <row r="20" spans="1:12" s="227" customFormat="1">
      <c r="A20" s="224" t="s">
        <v>35</v>
      </c>
      <c r="B20" s="224">
        <v>0</v>
      </c>
      <c r="C20" s="84"/>
      <c r="D20" s="72">
        <v>1</v>
      </c>
      <c r="E20" s="84">
        <v>53268</v>
      </c>
      <c r="F20" s="225">
        <v>1</v>
      </c>
      <c r="G20" s="225">
        <v>52029</v>
      </c>
      <c r="H20" s="72">
        <f t="shared" si="0"/>
        <v>2</v>
      </c>
      <c r="I20" s="84">
        <f t="shared" si="1"/>
        <v>10529.7</v>
      </c>
      <c r="J20" s="84">
        <f t="shared" si="2"/>
        <v>115826.7</v>
      </c>
      <c r="K20" s="226">
        <f t="shared" si="3"/>
        <v>1389.9204</v>
      </c>
      <c r="L20" s="59"/>
    </row>
    <row r="21" spans="1:12" s="227" customFormat="1">
      <c r="A21" s="74" t="s">
        <v>72</v>
      </c>
      <c r="B21" s="74">
        <f t="shared" ref="B21:G21" si="4">SUM(B11:B20)</f>
        <v>5.2</v>
      </c>
      <c r="C21" s="75">
        <f t="shared" si="4"/>
        <v>292248</v>
      </c>
      <c r="D21" s="74">
        <f t="shared" si="4"/>
        <v>7</v>
      </c>
      <c r="E21" s="75">
        <f t="shared" si="4"/>
        <v>384380</v>
      </c>
      <c r="F21" s="75">
        <f t="shared" si="4"/>
        <v>3</v>
      </c>
      <c r="G21" s="75">
        <f t="shared" si="4"/>
        <v>162989</v>
      </c>
      <c r="H21" s="72">
        <f>SUM(H11:H20)</f>
        <v>15.2</v>
      </c>
      <c r="I21" s="75">
        <f>SUM(I11:I20)</f>
        <v>83961.7</v>
      </c>
      <c r="J21" s="84">
        <f>SUM(J11:J20)</f>
        <v>923578.69999999984</v>
      </c>
      <c r="K21" s="76">
        <f>SUM(K11:K20)</f>
        <v>11082.9444</v>
      </c>
      <c r="L21" s="59"/>
    </row>
    <row r="22" spans="1:12">
      <c r="A22" s="71"/>
      <c r="B22" s="71"/>
      <c r="C22" s="71"/>
      <c r="D22" s="71"/>
      <c r="E22" s="71"/>
      <c r="F22" s="71"/>
      <c r="G22" s="71"/>
      <c r="H22" s="71"/>
      <c r="I22" s="71"/>
      <c r="J22" s="195"/>
      <c r="K22" s="71"/>
    </row>
    <row r="23" spans="1:12">
      <c r="A23" s="71"/>
      <c r="B23" s="4" t="s">
        <v>37</v>
      </c>
      <c r="C23" s="4"/>
      <c r="D23" s="4"/>
      <c r="E23" s="4"/>
      <c r="F23" s="214"/>
      <c r="G23" s="15"/>
      <c r="H23" s="15" t="s">
        <v>38</v>
      </c>
      <c r="I23" s="15"/>
      <c r="J23" s="62"/>
      <c r="K23" s="71"/>
    </row>
    <row r="24" spans="1:12">
      <c r="A24" s="71"/>
      <c r="B24" s="3"/>
      <c r="C24" s="3"/>
      <c r="D24" s="66"/>
      <c r="E24" s="3"/>
      <c r="F24" s="63"/>
      <c r="G24" s="63"/>
      <c r="H24" s="63"/>
      <c r="I24" s="63"/>
      <c r="J24" s="3"/>
      <c r="K24" s="71"/>
    </row>
    <row r="25" spans="1:12">
      <c r="A25" s="71"/>
      <c r="B25" s="62" t="s">
        <v>39</v>
      </c>
      <c r="C25" s="62"/>
      <c r="D25" s="215"/>
      <c r="E25" s="62"/>
      <c r="F25" s="15"/>
      <c r="G25" s="15"/>
      <c r="H25" s="15" t="s">
        <v>99</v>
      </c>
      <c r="I25" s="15"/>
      <c r="J25" s="62"/>
      <c r="K25" s="71"/>
    </row>
  </sheetData>
  <mergeCells count="3">
    <mergeCell ref="A6:J6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34"/>
  <sheetViews>
    <sheetView view="pageBreakPreview" topLeftCell="L7" zoomScale="120" zoomScaleSheetLayoutView="120" workbookViewId="0">
      <selection activeCell="X6" sqref="X6"/>
    </sheetView>
  </sheetViews>
  <sheetFormatPr defaultRowHeight="15"/>
  <cols>
    <col min="1" max="1" width="18" customWidth="1"/>
    <col min="2" max="2" width="3.85546875" customWidth="1"/>
    <col min="3" max="6" width="7.140625" hidden="1" customWidth="1"/>
    <col min="7" max="7" width="9.140625" style="100"/>
    <col min="8" max="8" width="6.140625" customWidth="1"/>
    <col min="9" max="9" width="4.28515625" customWidth="1"/>
    <col min="10" max="10" width="6.85546875" customWidth="1"/>
    <col min="11" max="11" width="6" customWidth="1"/>
    <col min="12" max="12" width="8.5703125" customWidth="1"/>
    <col min="13" max="13" width="4.42578125" customWidth="1"/>
    <col min="14" max="14" width="7.42578125" customWidth="1"/>
    <col min="15" max="15" width="6.85546875" customWidth="1"/>
    <col min="16" max="16" width="6.28515625" customWidth="1"/>
    <col min="17" max="17" width="3.85546875" customWidth="1"/>
    <col min="18" max="18" width="7.7109375" customWidth="1"/>
    <col min="19" max="19" width="3.85546875" customWidth="1"/>
    <col min="21" max="21" width="4.5703125" customWidth="1"/>
    <col min="22" max="22" width="5.42578125" customWidth="1"/>
    <col min="23" max="23" width="4" customWidth="1"/>
    <col min="24" max="24" width="6.85546875" customWidth="1"/>
    <col min="25" max="25" width="3.7109375" customWidth="1"/>
    <col min="26" max="26" width="7.140625" customWidth="1"/>
    <col min="27" max="27" width="2.85546875" customWidth="1"/>
    <col min="28" max="28" width="6.85546875" style="100" customWidth="1"/>
    <col min="29" max="29" width="3.140625" style="100" customWidth="1"/>
    <col min="30" max="30" width="7.28515625" style="100" customWidth="1"/>
    <col min="31" max="31" width="4.7109375" customWidth="1"/>
    <col min="32" max="32" width="6.7109375" customWidth="1"/>
    <col min="33" max="33" width="7.7109375" customWidth="1"/>
  </cols>
  <sheetData>
    <row r="1" spans="1:36">
      <c r="Q1" s="83"/>
      <c r="R1" s="83"/>
      <c r="S1" s="83"/>
      <c r="T1" s="83"/>
      <c r="U1" s="83"/>
      <c r="V1" s="122" t="s">
        <v>40</v>
      </c>
      <c r="W1" s="100"/>
      <c r="X1" s="100"/>
      <c r="Z1" s="83"/>
      <c r="AB1"/>
    </row>
    <row r="2" spans="1:36">
      <c r="M2" s="217"/>
      <c r="N2" s="217"/>
      <c r="O2" s="217"/>
      <c r="P2" s="217"/>
      <c r="Q2" s="83"/>
      <c r="R2" s="83"/>
      <c r="S2" s="83"/>
      <c r="T2" s="83"/>
      <c r="U2" s="83"/>
      <c r="V2" s="124" t="s">
        <v>125</v>
      </c>
      <c r="W2" s="100"/>
      <c r="X2" s="100"/>
      <c r="AB2"/>
    </row>
    <row r="3" spans="1:36">
      <c r="M3" s="294"/>
      <c r="N3" s="294"/>
      <c r="O3" s="294"/>
      <c r="P3" s="294"/>
      <c r="Q3" s="61"/>
      <c r="R3" s="61"/>
      <c r="S3" s="61"/>
      <c r="T3" s="61"/>
      <c r="U3" s="61"/>
      <c r="V3" s="125" t="s">
        <v>143</v>
      </c>
      <c r="W3" s="100"/>
      <c r="X3" s="125"/>
      <c r="Z3" s="69"/>
      <c r="AB3"/>
    </row>
    <row r="4" spans="1:36">
      <c r="M4" s="217"/>
      <c r="N4" s="217"/>
      <c r="O4" s="217"/>
      <c r="P4" s="217"/>
      <c r="Q4" s="61"/>
      <c r="R4" s="61"/>
      <c r="S4" s="61"/>
      <c r="T4" s="61"/>
      <c r="U4" s="61"/>
      <c r="V4" s="125" t="s">
        <v>98</v>
      </c>
      <c r="W4" s="100"/>
      <c r="X4" s="125"/>
      <c r="Z4" s="69"/>
      <c r="AB4"/>
    </row>
    <row r="5" spans="1:36">
      <c r="Q5" s="83"/>
      <c r="R5" s="83"/>
      <c r="S5" s="83"/>
      <c r="T5" s="83"/>
      <c r="U5" s="83"/>
      <c r="V5" s="124" t="s">
        <v>60</v>
      </c>
      <c r="W5" s="100"/>
      <c r="X5" s="100"/>
      <c r="AB5"/>
    </row>
    <row r="6" spans="1:36">
      <c r="G6" s="293" t="s">
        <v>97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16"/>
      <c r="T6" s="216"/>
      <c r="U6" s="216"/>
      <c r="V6" s="216"/>
      <c r="W6" s="83"/>
      <c r="X6" s="83"/>
      <c r="Y6" s="83"/>
      <c r="Z6" s="83"/>
    </row>
    <row r="7" spans="1:36">
      <c r="G7" s="295" t="s">
        <v>62</v>
      </c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83"/>
      <c r="S7" s="83"/>
      <c r="T7" s="83"/>
      <c r="U7" s="83"/>
      <c r="V7" s="83"/>
      <c r="W7" s="83"/>
      <c r="X7" s="83"/>
      <c r="Y7" s="83"/>
      <c r="Z7" s="83"/>
    </row>
    <row r="8" spans="1:36">
      <c r="G8" s="293" t="s">
        <v>160</v>
      </c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83"/>
      <c r="S8" s="83"/>
      <c r="T8" s="83"/>
      <c r="U8" s="83"/>
      <c r="V8" s="83"/>
      <c r="AI8" s="56"/>
      <c r="AJ8" s="56"/>
    </row>
    <row r="9" spans="1:36">
      <c r="B9" s="83"/>
      <c r="C9" s="83"/>
      <c r="D9" s="83"/>
      <c r="E9" s="83"/>
      <c r="F9" s="83"/>
      <c r="G9" s="122"/>
      <c r="H9" s="83"/>
      <c r="I9" s="83"/>
      <c r="J9" s="83"/>
      <c r="AI9" s="56"/>
      <c r="AJ9" s="56"/>
    </row>
    <row r="10" spans="1:36" ht="60" customHeight="1">
      <c r="A10" s="112" t="s">
        <v>63</v>
      </c>
      <c r="B10" s="114" t="s">
        <v>44</v>
      </c>
      <c r="C10" s="113" t="s">
        <v>101</v>
      </c>
      <c r="D10" s="113" t="s">
        <v>102</v>
      </c>
      <c r="E10" s="113" t="s">
        <v>104</v>
      </c>
      <c r="F10" s="113" t="s">
        <v>105</v>
      </c>
      <c r="G10" s="121" t="s">
        <v>85</v>
      </c>
      <c r="H10" s="114" t="s">
        <v>86</v>
      </c>
      <c r="I10" s="114" t="s">
        <v>87</v>
      </c>
      <c r="J10" s="113" t="s">
        <v>88</v>
      </c>
      <c r="K10" s="114" t="s">
        <v>89</v>
      </c>
      <c r="L10" s="113" t="s">
        <v>90</v>
      </c>
      <c r="M10" s="114" t="s">
        <v>44</v>
      </c>
      <c r="N10" s="113" t="s">
        <v>91</v>
      </c>
      <c r="O10" s="114" t="s">
        <v>89</v>
      </c>
      <c r="P10" s="113" t="s">
        <v>90</v>
      </c>
      <c r="Q10" s="114" t="s">
        <v>44</v>
      </c>
      <c r="R10" s="113" t="s">
        <v>92</v>
      </c>
      <c r="S10" s="114" t="s">
        <v>44</v>
      </c>
      <c r="T10" s="203" t="s">
        <v>106</v>
      </c>
      <c r="U10" s="114" t="s">
        <v>44</v>
      </c>
      <c r="V10" s="203" t="s">
        <v>107</v>
      </c>
      <c r="W10" s="114" t="s">
        <v>44</v>
      </c>
      <c r="X10" s="113" t="s">
        <v>93</v>
      </c>
      <c r="Y10" s="114" t="s">
        <v>44</v>
      </c>
      <c r="Z10" s="204" t="s">
        <v>94</v>
      </c>
      <c r="AA10" s="114" t="s">
        <v>44</v>
      </c>
      <c r="AB10" s="121" t="s">
        <v>95</v>
      </c>
      <c r="AC10" s="120" t="s">
        <v>44</v>
      </c>
      <c r="AD10" s="121" t="s">
        <v>96</v>
      </c>
      <c r="AE10" s="114" t="s">
        <v>44</v>
      </c>
      <c r="AF10" s="121" t="s">
        <v>103</v>
      </c>
      <c r="AG10" s="113" t="s">
        <v>70</v>
      </c>
      <c r="AH10" s="117" t="s">
        <v>50</v>
      </c>
      <c r="AI10" s="113" t="s">
        <v>80</v>
      </c>
      <c r="AJ10" s="75" t="s">
        <v>59</v>
      </c>
    </row>
    <row r="11" spans="1:36">
      <c r="A11" s="85" t="s">
        <v>26</v>
      </c>
      <c r="B11" s="86">
        <v>8</v>
      </c>
      <c r="C11" s="86">
        <v>49021</v>
      </c>
      <c r="D11" s="86">
        <v>49729</v>
      </c>
      <c r="E11" s="86">
        <v>50259</v>
      </c>
      <c r="F11" s="86">
        <v>51144</v>
      </c>
      <c r="G11" s="87">
        <f>B11*C11</f>
        <v>392168</v>
      </c>
      <c r="H11" s="87">
        <v>5309</v>
      </c>
      <c r="I11" s="86">
        <v>4.7</v>
      </c>
      <c r="J11" s="87">
        <f>I11*E11</f>
        <v>236217.30000000002</v>
      </c>
      <c r="K11" s="87">
        <v>23131</v>
      </c>
      <c r="L11" s="87">
        <v>2313</v>
      </c>
      <c r="M11" s="86">
        <v>3</v>
      </c>
      <c r="N11" s="87">
        <f>M11*C11</f>
        <v>147063</v>
      </c>
      <c r="O11" s="87">
        <v>20225</v>
      </c>
      <c r="P11" s="86">
        <v>1346</v>
      </c>
      <c r="Q11" s="86">
        <v>1</v>
      </c>
      <c r="R11" s="87">
        <f>Q11*E11</f>
        <v>50259</v>
      </c>
      <c r="S11" s="87"/>
      <c r="T11" s="87">
        <f>S11*D11</f>
        <v>0</v>
      </c>
      <c r="U11" s="87"/>
      <c r="V11" s="87"/>
      <c r="W11" s="87"/>
      <c r="X11" s="87">
        <f>W11*E11</f>
        <v>0</v>
      </c>
      <c r="Y11" s="87"/>
      <c r="Z11" s="87">
        <f>Y11*E11</f>
        <v>0</v>
      </c>
      <c r="AA11" s="87"/>
      <c r="AB11" s="87">
        <f>AA11*C11</f>
        <v>0</v>
      </c>
      <c r="AC11" s="87">
        <f>SUM(AA11:AB11)</f>
        <v>0</v>
      </c>
      <c r="AD11" s="87">
        <f>AC11*C11</f>
        <v>0</v>
      </c>
      <c r="AE11" s="87"/>
      <c r="AF11" s="87">
        <f>AE11*F11</f>
        <v>0</v>
      </c>
      <c r="AG11" s="88">
        <f>B11+I11+M11+Q11+S11+U11+W11+Y11+AA11+AC11+AE11</f>
        <v>16.7</v>
      </c>
      <c r="AH11" s="87">
        <f>(G11+J11+N11+R11+T11+V11+X11+Z11+AB11+AD11+AF11)*10%</f>
        <v>82570.73000000001</v>
      </c>
      <c r="AI11" s="87">
        <f>G11+J11+K11+L11+N11+O11+P11+R11+T11+V11+X11+Z11+AB11+AD11+AF11+AH11+H11</f>
        <v>960602.03</v>
      </c>
      <c r="AJ11" s="98">
        <f>(AI11*12)/1000</f>
        <v>11527.22436</v>
      </c>
    </row>
    <row r="12" spans="1:36" s="100" customFormat="1">
      <c r="A12" s="86" t="s">
        <v>27</v>
      </c>
      <c r="B12" s="86">
        <v>10</v>
      </c>
      <c r="C12" s="86">
        <v>49021</v>
      </c>
      <c r="D12" s="86">
        <v>49729</v>
      </c>
      <c r="E12" s="86">
        <v>50259</v>
      </c>
      <c r="F12" s="86">
        <v>51144</v>
      </c>
      <c r="G12" s="87">
        <f t="shared" ref="G12:G20" si="0">B12*C12</f>
        <v>490210</v>
      </c>
      <c r="H12" s="87">
        <v>5309</v>
      </c>
      <c r="I12" s="86">
        <v>4.7</v>
      </c>
      <c r="J12" s="87">
        <f t="shared" ref="J12:J20" si="1">I12*E12</f>
        <v>236217.30000000002</v>
      </c>
      <c r="K12" s="87">
        <v>23131</v>
      </c>
      <c r="L12" s="87">
        <v>2313</v>
      </c>
      <c r="M12" s="86">
        <v>3</v>
      </c>
      <c r="N12" s="87">
        <f t="shared" ref="N12:N20" si="2">M12*C12</f>
        <v>147063</v>
      </c>
      <c r="O12" s="87">
        <v>20225</v>
      </c>
      <c r="P12" s="86">
        <v>1346</v>
      </c>
      <c r="Q12" s="86">
        <v>1</v>
      </c>
      <c r="R12" s="87">
        <f t="shared" ref="R12:R20" si="3">Q12*E12</f>
        <v>50259</v>
      </c>
      <c r="S12" s="87"/>
      <c r="T12" s="87">
        <f t="shared" ref="T12:T20" si="4">S12*D12</f>
        <v>0</v>
      </c>
      <c r="U12" s="87"/>
      <c r="V12" s="87"/>
      <c r="W12" s="87">
        <v>1</v>
      </c>
      <c r="X12" s="87">
        <f t="shared" ref="X12:X20" si="5">W12*E12</f>
        <v>50259</v>
      </c>
      <c r="Y12" s="87">
        <v>1</v>
      </c>
      <c r="Z12" s="87">
        <f t="shared" ref="Z12:Z20" si="6">Y12*E12</f>
        <v>50259</v>
      </c>
      <c r="AA12" s="87"/>
      <c r="AB12" s="87">
        <f t="shared" ref="AB12:AB20" si="7">AA12*C12</f>
        <v>0</v>
      </c>
      <c r="AC12" s="87">
        <v>1</v>
      </c>
      <c r="AD12" s="87">
        <f t="shared" ref="AD12:AD20" si="8">AC12*C12</f>
        <v>49021</v>
      </c>
      <c r="AE12" s="87"/>
      <c r="AF12" s="87">
        <f t="shared" ref="AF12:AF20" si="9">AE12*F12</f>
        <v>0</v>
      </c>
      <c r="AG12" s="88">
        <f t="shared" ref="AG12:AG20" si="10">B12+I12+M12+Q12+S12+U12+W12+Y12+AA12+AC12+AE12</f>
        <v>21.7</v>
      </c>
      <c r="AH12" s="87">
        <f t="shared" ref="AH12:AH20" si="11">(G12+J12+N12+R12+T12+V12+X12+Z12+AB12+AD12+AF12)*10%</f>
        <v>107328.83000000002</v>
      </c>
      <c r="AI12" s="87">
        <f t="shared" ref="AI12:AI20" si="12">G12+J12+K12+L12+N12+O12+P12+R12+T12+V12+X12+Z12+AB12+AD12+AF12+AH12+H12</f>
        <v>1232941.1300000001</v>
      </c>
      <c r="AJ12" s="98">
        <f t="shared" ref="AJ12:AJ20" si="13">(AI12*12)/1000</f>
        <v>14795.293560000002</v>
      </c>
    </row>
    <row r="13" spans="1:36" s="100" customFormat="1">
      <c r="A13" s="86" t="s">
        <v>28</v>
      </c>
      <c r="B13" s="86">
        <v>6</v>
      </c>
      <c r="C13" s="86">
        <v>49021</v>
      </c>
      <c r="D13" s="86">
        <v>49729</v>
      </c>
      <c r="E13" s="86">
        <v>50259</v>
      </c>
      <c r="F13" s="86">
        <v>51144</v>
      </c>
      <c r="G13" s="87">
        <f t="shared" si="0"/>
        <v>294126</v>
      </c>
      <c r="H13" s="87">
        <v>5309</v>
      </c>
      <c r="I13" s="86">
        <v>4.7</v>
      </c>
      <c r="J13" s="87">
        <f t="shared" si="1"/>
        <v>236217.30000000002</v>
      </c>
      <c r="K13" s="87">
        <v>23131</v>
      </c>
      <c r="L13" s="87">
        <v>2313</v>
      </c>
      <c r="M13" s="86">
        <v>3</v>
      </c>
      <c r="N13" s="87">
        <f t="shared" si="2"/>
        <v>147063</v>
      </c>
      <c r="O13" s="87">
        <v>20225</v>
      </c>
      <c r="P13" s="86">
        <v>1346</v>
      </c>
      <c r="Q13" s="86">
        <v>1</v>
      </c>
      <c r="R13" s="87">
        <f t="shared" si="3"/>
        <v>50259</v>
      </c>
      <c r="S13" s="87"/>
      <c r="T13" s="87">
        <f t="shared" si="4"/>
        <v>0</v>
      </c>
      <c r="U13" s="87"/>
      <c r="V13" s="87"/>
      <c r="W13" s="87"/>
      <c r="X13" s="87">
        <f t="shared" si="5"/>
        <v>0</v>
      </c>
      <c r="Y13" s="87"/>
      <c r="Z13" s="87">
        <f t="shared" si="6"/>
        <v>0</v>
      </c>
      <c r="AA13" s="87"/>
      <c r="AB13" s="87">
        <f t="shared" si="7"/>
        <v>0</v>
      </c>
      <c r="AC13" s="87">
        <f>SUM(AA13:AB13)</f>
        <v>0</v>
      </c>
      <c r="AD13" s="87">
        <f t="shared" si="8"/>
        <v>0</v>
      </c>
      <c r="AE13" s="87"/>
      <c r="AF13" s="87">
        <f t="shared" si="9"/>
        <v>0</v>
      </c>
      <c r="AG13" s="88">
        <f t="shared" si="10"/>
        <v>14.7</v>
      </c>
      <c r="AH13" s="87">
        <f t="shared" si="11"/>
        <v>72766.530000000013</v>
      </c>
      <c r="AI13" s="87">
        <f t="shared" si="12"/>
        <v>852755.83000000007</v>
      </c>
      <c r="AJ13" s="98">
        <f t="shared" si="13"/>
        <v>10233.069960000001</v>
      </c>
    </row>
    <row r="14" spans="1:36" s="100" customFormat="1">
      <c r="A14" s="86" t="s">
        <v>29</v>
      </c>
      <c r="B14" s="88">
        <v>13.5</v>
      </c>
      <c r="C14" s="86">
        <v>49021</v>
      </c>
      <c r="D14" s="86">
        <v>49729</v>
      </c>
      <c r="E14" s="86">
        <v>50259</v>
      </c>
      <c r="F14" s="86">
        <v>51144</v>
      </c>
      <c r="G14" s="87">
        <f t="shared" si="0"/>
        <v>661783.5</v>
      </c>
      <c r="H14" s="87">
        <v>10618</v>
      </c>
      <c r="I14" s="86">
        <v>0</v>
      </c>
      <c r="J14" s="87">
        <f t="shared" si="1"/>
        <v>0</v>
      </c>
      <c r="K14" s="87"/>
      <c r="L14" s="87"/>
      <c r="M14" s="86">
        <v>3</v>
      </c>
      <c r="N14" s="87">
        <f t="shared" si="2"/>
        <v>147063</v>
      </c>
      <c r="O14" s="87">
        <v>20225</v>
      </c>
      <c r="P14" s="86">
        <v>1346</v>
      </c>
      <c r="Q14" s="86">
        <v>4</v>
      </c>
      <c r="R14" s="87">
        <f t="shared" si="3"/>
        <v>201036</v>
      </c>
      <c r="S14" s="87"/>
      <c r="T14" s="87">
        <f t="shared" si="4"/>
        <v>0</v>
      </c>
      <c r="U14" s="87"/>
      <c r="V14" s="87"/>
      <c r="W14" s="87">
        <v>1</v>
      </c>
      <c r="X14" s="87">
        <f t="shared" si="5"/>
        <v>50259</v>
      </c>
      <c r="Y14" s="87"/>
      <c r="Z14" s="87">
        <f t="shared" si="6"/>
        <v>0</v>
      </c>
      <c r="AA14" s="87">
        <v>2</v>
      </c>
      <c r="AB14" s="87">
        <f t="shared" si="7"/>
        <v>98042</v>
      </c>
      <c r="AC14" s="87">
        <v>3</v>
      </c>
      <c r="AD14" s="87">
        <f t="shared" si="8"/>
        <v>147063</v>
      </c>
      <c r="AE14" s="87"/>
      <c r="AF14" s="87">
        <f t="shared" si="9"/>
        <v>0</v>
      </c>
      <c r="AG14" s="88">
        <f t="shared" si="10"/>
        <v>26.5</v>
      </c>
      <c r="AH14" s="87">
        <f t="shared" si="11"/>
        <v>130524.65000000001</v>
      </c>
      <c r="AI14" s="87">
        <f t="shared" si="12"/>
        <v>1467960.15</v>
      </c>
      <c r="AJ14" s="98">
        <f t="shared" si="13"/>
        <v>17615.521799999999</v>
      </c>
    </row>
    <row r="15" spans="1:36" s="100" customFormat="1">
      <c r="A15" s="86" t="s">
        <v>30</v>
      </c>
      <c r="B15" s="86">
        <v>5</v>
      </c>
      <c r="C15" s="86">
        <v>49021</v>
      </c>
      <c r="D15" s="86">
        <v>49729</v>
      </c>
      <c r="E15" s="86">
        <v>50259</v>
      </c>
      <c r="F15" s="86">
        <v>51144</v>
      </c>
      <c r="G15" s="87">
        <f t="shared" si="0"/>
        <v>245105</v>
      </c>
      <c r="H15" s="87">
        <v>5309</v>
      </c>
      <c r="I15" s="86">
        <v>4.7</v>
      </c>
      <c r="J15" s="87">
        <f t="shared" si="1"/>
        <v>236217.30000000002</v>
      </c>
      <c r="K15" s="87">
        <v>23131</v>
      </c>
      <c r="L15" s="87">
        <v>2313</v>
      </c>
      <c r="M15" s="86">
        <v>3</v>
      </c>
      <c r="N15" s="87">
        <f t="shared" si="2"/>
        <v>147063</v>
      </c>
      <c r="O15" s="87">
        <v>20225</v>
      </c>
      <c r="P15" s="86">
        <v>1346</v>
      </c>
      <c r="Q15" s="86">
        <v>1</v>
      </c>
      <c r="R15" s="87">
        <f t="shared" si="3"/>
        <v>50259</v>
      </c>
      <c r="S15" s="87"/>
      <c r="T15" s="87">
        <f t="shared" si="4"/>
        <v>0</v>
      </c>
      <c r="U15" s="87"/>
      <c r="V15" s="87"/>
      <c r="W15" s="87"/>
      <c r="X15" s="87">
        <f t="shared" si="5"/>
        <v>0</v>
      </c>
      <c r="Y15" s="87"/>
      <c r="Z15" s="87">
        <f t="shared" si="6"/>
        <v>0</v>
      </c>
      <c r="AA15" s="87"/>
      <c r="AB15" s="87">
        <f t="shared" si="7"/>
        <v>0</v>
      </c>
      <c r="AC15" s="87">
        <f>SUM(AA15:AB15)</f>
        <v>0</v>
      </c>
      <c r="AD15" s="87">
        <f t="shared" si="8"/>
        <v>0</v>
      </c>
      <c r="AE15" s="87"/>
      <c r="AF15" s="87">
        <f t="shared" si="9"/>
        <v>0</v>
      </c>
      <c r="AG15" s="88">
        <f t="shared" si="10"/>
        <v>13.7</v>
      </c>
      <c r="AH15" s="87">
        <f t="shared" si="11"/>
        <v>67864.430000000008</v>
      </c>
      <c r="AI15" s="87">
        <f t="shared" si="12"/>
        <v>798832.7300000001</v>
      </c>
      <c r="AJ15" s="98">
        <f t="shared" si="13"/>
        <v>9585.992760000001</v>
      </c>
    </row>
    <row r="16" spans="1:36" s="100" customFormat="1">
      <c r="A16" s="86" t="s">
        <v>31</v>
      </c>
      <c r="B16" s="86">
        <v>4</v>
      </c>
      <c r="C16" s="86">
        <v>49021</v>
      </c>
      <c r="D16" s="86">
        <v>49729</v>
      </c>
      <c r="E16" s="86">
        <v>50259</v>
      </c>
      <c r="F16" s="86">
        <v>51144</v>
      </c>
      <c r="G16" s="87">
        <f t="shared" si="0"/>
        <v>196084</v>
      </c>
      <c r="H16" s="87">
        <v>5309</v>
      </c>
      <c r="I16" s="86">
        <v>4.7</v>
      </c>
      <c r="J16" s="87">
        <f t="shared" si="1"/>
        <v>236217.30000000002</v>
      </c>
      <c r="K16" s="87">
        <v>23131</v>
      </c>
      <c r="L16" s="87">
        <v>2313</v>
      </c>
      <c r="M16" s="86">
        <v>3</v>
      </c>
      <c r="N16" s="87">
        <f t="shared" si="2"/>
        <v>147063</v>
      </c>
      <c r="O16" s="87">
        <v>20225</v>
      </c>
      <c r="P16" s="86">
        <v>1346</v>
      </c>
      <c r="Q16" s="86">
        <v>1</v>
      </c>
      <c r="R16" s="87">
        <f t="shared" si="3"/>
        <v>50259</v>
      </c>
      <c r="S16" s="87"/>
      <c r="T16" s="87">
        <f t="shared" si="4"/>
        <v>0</v>
      </c>
      <c r="U16" s="87"/>
      <c r="V16" s="87"/>
      <c r="W16" s="87"/>
      <c r="X16" s="87">
        <f t="shared" si="5"/>
        <v>0</v>
      </c>
      <c r="Y16" s="87"/>
      <c r="Z16" s="87">
        <f t="shared" si="6"/>
        <v>0</v>
      </c>
      <c r="AA16" s="87"/>
      <c r="AB16" s="87">
        <f t="shared" si="7"/>
        <v>0</v>
      </c>
      <c r="AC16" s="87">
        <f>SUM(AA16:AB16)</f>
        <v>0</v>
      </c>
      <c r="AD16" s="87">
        <f t="shared" si="8"/>
        <v>0</v>
      </c>
      <c r="AE16" s="130"/>
      <c r="AF16" s="87">
        <f t="shared" si="9"/>
        <v>0</v>
      </c>
      <c r="AG16" s="88">
        <f t="shared" si="10"/>
        <v>12.7</v>
      </c>
      <c r="AH16" s="87">
        <f t="shared" si="11"/>
        <v>62962.330000000009</v>
      </c>
      <c r="AI16" s="87">
        <f t="shared" si="12"/>
        <v>744909.63</v>
      </c>
      <c r="AJ16" s="98">
        <f t="shared" si="13"/>
        <v>8938.9155600000013</v>
      </c>
    </row>
    <row r="17" spans="1:36" s="100" customFormat="1">
      <c r="A17" s="86" t="s">
        <v>32</v>
      </c>
      <c r="B17" s="86">
        <v>5.5</v>
      </c>
      <c r="C17" s="86">
        <v>49021</v>
      </c>
      <c r="D17" s="86">
        <v>49729</v>
      </c>
      <c r="E17" s="86">
        <v>50259</v>
      </c>
      <c r="F17" s="86">
        <v>51144</v>
      </c>
      <c r="G17" s="87">
        <f t="shared" si="0"/>
        <v>269615.5</v>
      </c>
      <c r="H17" s="87">
        <v>5309</v>
      </c>
      <c r="I17" s="86">
        <v>4.7</v>
      </c>
      <c r="J17" s="87">
        <f t="shared" si="1"/>
        <v>236217.30000000002</v>
      </c>
      <c r="K17" s="87">
        <v>23131</v>
      </c>
      <c r="L17" s="87">
        <v>2313</v>
      </c>
      <c r="M17" s="86">
        <v>3</v>
      </c>
      <c r="N17" s="87">
        <f t="shared" si="2"/>
        <v>147063</v>
      </c>
      <c r="O17" s="87">
        <v>20225</v>
      </c>
      <c r="P17" s="86">
        <v>1346</v>
      </c>
      <c r="Q17" s="86">
        <v>1</v>
      </c>
      <c r="R17" s="87">
        <f t="shared" si="3"/>
        <v>50259</v>
      </c>
      <c r="S17" s="87">
        <v>1</v>
      </c>
      <c r="T17" s="87">
        <f t="shared" si="4"/>
        <v>49729</v>
      </c>
      <c r="U17" s="88">
        <v>0.5</v>
      </c>
      <c r="V17" s="87">
        <f>U17*D17</f>
        <v>24864.5</v>
      </c>
      <c r="W17" s="87"/>
      <c r="X17" s="87">
        <f t="shared" si="5"/>
        <v>0</v>
      </c>
      <c r="Y17" s="87"/>
      <c r="Z17" s="87">
        <f t="shared" si="6"/>
        <v>0</v>
      </c>
      <c r="AA17" s="87">
        <v>1</v>
      </c>
      <c r="AB17" s="87">
        <f t="shared" si="7"/>
        <v>49021</v>
      </c>
      <c r="AC17" s="87"/>
      <c r="AD17" s="87">
        <f t="shared" si="8"/>
        <v>0</v>
      </c>
      <c r="AE17" s="130">
        <v>1</v>
      </c>
      <c r="AF17" s="87">
        <f t="shared" si="9"/>
        <v>51144</v>
      </c>
      <c r="AG17" s="88">
        <f t="shared" si="10"/>
        <v>17.7</v>
      </c>
      <c r="AH17" s="87">
        <f t="shared" si="11"/>
        <v>87791.330000000016</v>
      </c>
      <c r="AI17" s="87">
        <f t="shared" si="12"/>
        <v>1018028.6300000001</v>
      </c>
      <c r="AJ17" s="98">
        <f t="shared" si="13"/>
        <v>12216.343560000003</v>
      </c>
    </row>
    <row r="18" spans="1:36" s="100" customFormat="1">
      <c r="A18" s="86" t="s">
        <v>33</v>
      </c>
      <c r="B18" s="86">
        <v>6</v>
      </c>
      <c r="C18" s="86">
        <v>49021</v>
      </c>
      <c r="D18" s="86">
        <v>49729</v>
      </c>
      <c r="E18" s="86">
        <v>50259</v>
      </c>
      <c r="F18" s="86">
        <v>51144</v>
      </c>
      <c r="G18" s="87">
        <f t="shared" si="0"/>
        <v>294126</v>
      </c>
      <c r="H18" s="87">
        <v>5309</v>
      </c>
      <c r="I18" s="86">
        <v>4.7</v>
      </c>
      <c r="J18" s="87">
        <f t="shared" si="1"/>
        <v>236217.30000000002</v>
      </c>
      <c r="K18" s="87">
        <v>23131</v>
      </c>
      <c r="L18" s="87">
        <v>2313</v>
      </c>
      <c r="M18" s="86">
        <v>3</v>
      </c>
      <c r="N18" s="87">
        <f t="shared" si="2"/>
        <v>147063</v>
      </c>
      <c r="O18" s="87">
        <v>20225</v>
      </c>
      <c r="P18" s="86">
        <v>1346</v>
      </c>
      <c r="Q18" s="86">
        <v>1</v>
      </c>
      <c r="R18" s="87">
        <f t="shared" si="3"/>
        <v>50259</v>
      </c>
      <c r="S18" s="87"/>
      <c r="T18" s="87">
        <f t="shared" si="4"/>
        <v>0</v>
      </c>
      <c r="U18" s="87"/>
      <c r="V18" s="87"/>
      <c r="W18" s="87"/>
      <c r="X18" s="87">
        <f t="shared" si="5"/>
        <v>0</v>
      </c>
      <c r="Y18" s="87"/>
      <c r="Z18" s="87">
        <f t="shared" si="6"/>
        <v>0</v>
      </c>
      <c r="AA18" s="87"/>
      <c r="AB18" s="87">
        <f t="shared" si="7"/>
        <v>0</v>
      </c>
      <c r="AC18" s="87">
        <f>SUM(AA18:AB18)</f>
        <v>0</v>
      </c>
      <c r="AD18" s="87">
        <f t="shared" si="8"/>
        <v>0</v>
      </c>
      <c r="AE18" s="130"/>
      <c r="AF18" s="87">
        <f t="shared" si="9"/>
        <v>0</v>
      </c>
      <c r="AG18" s="88">
        <f t="shared" si="10"/>
        <v>14.7</v>
      </c>
      <c r="AH18" s="87">
        <f t="shared" si="11"/>
        <v>72766.530000000013</v>
      </c>
      <c r="AI18" s="87">
        <f t="shared" si="12"/>
        <v>852755.83000000007</v>
      </c>
      <c r="AJ18" s="98">
        <f t="shared" si="13"/>
        <v>10233.069960000001</v>
      </c>
    </row>
    <row r="19" spans="1:36" s="100" customFormat="1">
      <c r="A19" s="86" t="s">
        <v>34</v>
      </c>
      <c r="B19" s="86">
        <v>5</v>
      </c>
      <c r="C19" s="86">
        <v>49021</v>
      </c>
      <c r="D19" s="86">
        <v>49729</v>
      </c>
      <c r="E19" s="86">
        <v>50259</v>
      </c>
      <c r="F19" s="86">
        <v>51144</v>
      </c>
      <c r="G19" s="87">
        <f t="shared" si="0"/>
        <v>245105</v>
      </c>
      <c r="H19" s="87">
        <v>5309</v>
      </c>
      <c r="I19" s="86">
        <v>4.7</v>
      </c>
      <c r="J19" s="87">
        <f t="shared" si="1"/>
        <v>236217.30000000002</v>
      </c>
      <c r="K19" s="87">
        <v>23131</v>
      </c>
      <c r="L19" s="87">
        <v>2313</v>
      </c>
      <c r="M19" s="86">
        <v>3</v>
      </c>
      <c r="N19" s="87">
        <f t="shared" si="2"/>
        <v>147063</v>
      </c>
      <c r="O19" s="87">
        <v>20225</v>
      </c>
      <c r="P19" s="86">
        <v>1346</v>
      </c>
      <c r="Q19" s="86">
        <v>1</v>
      </c>
      <c r="R19" s="87">
        <f t="shared" si="3"/>
        <v>50259</v>
      </c>
      <c r="S19" s="87"/>
      <c r="T19" s="87">
        <f t="shared" si="4"/>
        <v>0</v>
      </c>
      <c r="U19" s="87"/>
      <c r="V19" s="87"/>
      <c r="W19" s="87"/>
      <c r="X19" s="87">
        <f t="shared" si="5"/>
        <v>0</v>
      </c>
      <c r="Y19" s="87"/>
      <c r="Z19" s="87">
        <f t="shared" si="6"/>
        <v>0</v>
      </c>
      <c r="AA19" s="87"/>
      <c r="AB19" s="87">
        <f t="shared" si="7"/>
        <v>0</v>
      </c>
      <c r="AC19" s="87">
        <f>SUM(AA19:AB19)</f>
        <v>0</v>
      </c>
      <c r="AD19" s="87">
        <f t="shared" si="8"/>
        <v>0</v>
      </c>
      <c r="AE19" s="87"/>
      <c r="AF19" s="87">
        <f t="shared" si="9"/>
        <v>0</v>
      </c>
      <c r="AG19" s="88">
        <f t="shared" si="10"/>
        <v>13.7</v>
      </c>
      <c r="AH19" s="87">
        <f t="shared" si="11"/>
        <v>67864.430000000008</v>
      </c>
      <c r="AI19" s="87">
        <f t="shared" si="12"/>
        <v>798832.7300000001</v>
      </c>
      <c r="AJ19" s="98">
        <f t="shared" si="13"/>
        <v>9585.992760000001</v>
      </c>
    </row>
    <row r="20" spans="1:36" s="100" customFormat="1">
      <c r="A20" s="86" t="s">
        <v>35</v>
      </c>
      <c r="B20" s="86">
        <v>6</v>
      </c>
      <c r="C20" s="86">
        <v>49021</v>
      </c>
      <c r="D20" s="86">
        <v>49729</v>
      </c>
      <c r="E20" s="86">
        <v>50259</v>
      </c>
      <c r="F20" s="86">
        <v>51144</v>
      </c>
      <c r="G20" s="87">
        <f t="shared" si="0"/>
        <v>294126</v>
      </c>
      <c r="H20" s="87">
        <v>5309</v>
      </c>
      <c r="I20" s="86">
        <v>4.7</v>
      </c>
      <c r="J20" s="87">
        <f t="shared" si="1"/>
        <v>236217.30000000002</v>
      </c>
      <c r="K20" s="87">
        <v>23131</v>
      </c>
      <c r="L20" s="87">
        <v>2313</v>
      </c>
      <c r="M20" s="86">
        <v>3</v>
      </c>
      <c r="N20" s="87">
        <f t="shared" si="2"/>
        <v>147063</v>
      </c>
      <c r="O20" s="87">
        <v>20225</v>
      </c>
      <c r="P20" s="86">
        <v>1346</v>
      </c>
      <c r="Q20" s="86">
        <v>1</v>
      </c>
      <c r="R20" s="87">
        <f t="shared" si="3"/>
        <v>50259</v>
      </c>
      <c r="S20" s="87"/>
      <c r="T20" s="87">
        <f t="shared" si="4"/>
        <v>0</v>
      </c>
      <c r="U20" s="87"/>
      <c r="V20" s="87"/>
      <c r="W20" s="87"/>
      <c r="X20" s="87">
        <f t="shared" si="5"/>
        <v>0</v>
      </c>
      <c r="Y20" s="87"/>
      <c r="Z20" s="87">
        <f t="shared" si="6"/>
        <v>0</v>
      </c>
      <c r="AA20" s="87"/>
      <c r="AB20" s="87">
        <f t="shared" si="7"/>
        <v>0</v>
      </c>
      <c r="AC20" s="87">
        <f>SUM(AA20:AB20)</f>
        <v>0</v>
      </c>
      <c r="AD20" s="87">
        <f t="shared" si="8"/>
        <v>0</v>
      </c>
      <c r="AE20" s="87"/>
      <c r="AF20" s="87">
        <f t="shared" si="9"/>
        <v>0</v>
      </c>
      <c r="AG20" s="88">
        <f t="shared" si="10"/>
        <v>14.7</v>
      </c>
      <c r="AH20" s="87">
        <f t="shared" si="11"/>
        <v>72766.530000000013</v>
      </c>
      <c r="AI20" s="87">
        <f t="shared" si="12"/>
        <v>852755.83000000007</v>
      </c>
      <c r="AJ20" s="98">
        <f t="shared" si="13"/>
        <v>10233.069960000001</v>
      </c>
    </row>
    <row r="21" spans="1:36">
      <c r="A21" s="89" t="s">
        <v>72</v>
      </c>
      <c r="B21" s="89">
        <f>SUM(B11:B20)</f>
        <v>69</v>
      </c>
      <c r="C21" s="86">
        <v>49021</v>
      </c>
      <c r="D21" s="86">
        <v>49729</v>
      </c>
      <c r="E21" s="86">
        <v>50259</v>
      </c>
      <c r="F21" s="86">
        <v>51144</v>
      </c>
      <c r="G21" s="132">
        <f t="shared" ref="G21:AJ21" si="14">SUM(G11:G20)</f>
        <v>3382449</v>
      </c>
      <c r="H21" s="132">
        <f t="shared" si="14"/>
        <v>58399</v>
      </c>
      <c r="I21" s="136">
        <f t="shared" si="14"/>
        <v>42.300000000000004</v>
      </c>
      <c r="J21" s="132">
        <f t="shared" si="14"/>
        <v>2125955.7000000002</v>
      </c>
      <c r="K21" s="132">
        <f t="shared" si="14"/>
        <v>208179</v>
      </c>
      <c r="L21" s="132">
        <f t="shared" si="14"/>
        <v>20817</v>
      </c>
      <c r="M21" s="132">
        <f t="shared" si="14"/>
        <v>30</v>
      </c>
      <c r="N21" s="132">
        <f t="shared" si="14"/>
        <v>1470630</v>
      </c>
      <c r="O21" s="132">
        <f t="shared" si="14"/>
        <v>202250</v>
      </c>
      <c r="P21" s="132">
        <f t="shared" si="14"/>
        <v>13460</v>
      </c>
      <c r="Q21" s="132">
        <f t="shared" si="14"/>
        <v>13</v>
      </c>
      <c r="R21" s="132">
        <f t="shared" si="14"/>
        <v>653367</v>
      </c>
      <c r="S21" s="132">
        <f t="shared" si="14"/>
        <v>1</v>
      </c>
      <c r="T21" s="132">
        <f t="shared" si="14"/>
        <v>49729</v>
      </c>
      <c r="U21" s="132">
        <f t="shared" si="14"/>
        <v>0.5</v>
      </c>
      <c r="V21" s="132">
        <f t="shared" si="14"/>
        <v>24864.5</v>
      </c>
      <c r="W21" s="132">
        <f t="shared" si="14"/>
        <v>2</v>
      </c>
      <c r="X21" s="132">
        <f t="shared" si="14"/>
        <v>100518</v>
      </c>
      <c r="Y21" s="132">
        <f t="shared" si="14"/>
        <v>1</v>
      </c>
      <c r="Z21" s="132">
        <f t="shared" si="14"/>
        <v>50259</v>
      </c>
      <c r="AA21" s="132">
        <f t="shared" si="14"/>
        <v>3</v>
      </c>
      <c r="AB21" s="132">
        <f t="shared" si="14"/>
        <v>147063</v>
      </c>
      <c r="AC21" s="132">
        <f t="shared" si="14"/>
        <v>4</v>
      </c>
      <c r="AD21" s="132">
        <f t="shared" si="14"/>
        <v>196084</v>
      </c>
      <c r="AE21" s="132">
        <f t="shared" si="14"/>
        <v>1</v>
      </c>
      <c r="AF21" s="132">
        <f t="shared" si="14"/>
        <v>51144</v>
      </c>
      <c r="AG21" s="136">
        <f t="shared" si="14"/>
        <v>166.79999999999998</v>
      </c>
      <c r="AH21" s="132">
        <f t="shared" si="14"/>
        <v>825206.32000000018</v>
      </c>
      <c r="AI21" s="132">
        <f t="shared" si="14"/>
        <v>9580374.5200000014</v>
      </c>
      <c r="AJ21" s="99">
        <f t="shared" si="14"/>
        <v>114964.49424</v>
      </c>
    </row>
    <row r="22" spans="1:36">
      <c r="A22" s="58"/>
      <c r="B22" s="93"/>
      <c r="C22" s="94"/>
      <c r="D22" s="94"/>
      <c r="E22" s="94"/>
      <c r="F22" s="94"/>
      <c r="G22" s="123"/>
      <c r="H22" s="95"/>
      <c r="I22" s="90"/>
      <c r="J22" s="94"/>
      <c r="K22" s="90"/>
      <c r="L22" s="59"/>
      <c r="M22" s="90"/>
      <c r="N22" s="59"/>
      <c r="O22" s="59"/>
      <c r="P22" s="59"/>
      <c r="Q22" s="90"/>
      <c r="R22" s="59"/>
      <c r="S22" s="59"/>
      <c r="T22" s="59"/>
      <c r="U22" s="59"/>
      <c r="V22" s="59"/>
      <c r="W22" s="60"/>
      <c r="X22" s="60"/>
      <c r="Y22" s="60"/>
      <c r="Z22" s="60"/>
      <c r="AA22" s="59"/>
      <c r="AB22" s="60"/>
      <c r="AC22" s="60"/>
      <c r="AD22" s="60"/>
      <c r="AE22" s="59"/>
      <c r="AF22" s="59"/>
      <c r="AG22" s="60"/>
      <c r="AH22" s="60"/>
      <c r="AI22" s="59"/>
      <c r="AJ22" s="59"/>
    </row>
    <row r="23" spans="1:36">
      <c r="I23" s="4" t="s">
        <v>37</v>
      </c>
      <c r="J23" s="4"/>
      <c r="K23" s="4"/>
      <c r="L23" s="4"/>
      <c r="M23" s="214"/>
      <c r="N23" s="15"/>
      <c r="O23" s="15" t="s">
        <v>38</v>
      </c>
      <c r="P23" s="62"/>
      <c r="Q23" s="61"/>
      <c r="R23" s="61"/>
      <c r="S23" s="61"/>
      <c r="T23" s="61"/>
      <c r="U23" s="61"/>
      <c r="V23" s="61"/>
      <c r="W23" s="77"/>
      <c r="X23" s="78"/>
      <c r="Y23" s="78"/>
      <c r="Z23" s="78"/>
      <c r="AA23" s="96"/>
      <c r="AB23" s="126"/>
      <c r="AC23" s="127"/>
      <c r="AD23" s="127"/>
      <c r="AE23" s="61"/>
      <c r="AF23" s="61"/>
      <c r="AG23" s="61"/>
      <c r="AH23" s="61"/>
      <c r="AI23" s="97"/>
      <c r="AJ23" s="61"/>
    </row>
    <row r="24" spans="1:36">
      <c r="I24" s="3"/>
      <c r="J24" s="3"/>
      <c r="K24" s="66"/>
      <c r="L24" s="3"/>
      <c r="M24" s="63"/>
      <c r="N24" s="63"/>
      <c r="O24" s="63"/>
      <c r="P24" s="3"/>
      <c r="Q24" s="61"/>
      <c r="R24" s="61"/>
      <c r="S24" s="61"/>
      <c r="T24" s="61"/>
      <c r="U24" s="61"/>
      <c r="V24" s="61"/>
      <c r="W24" s="80"/>
      <c r="X24" s="80"/>
      <c r="Y24" s="80"/>
      <c r="Z24" s="80"/>
      <c r="AA24" s="79"/>
      <c r="AB24" s="128"/>
      <c r="AC24" s="127"/>
      <c r="AD24" s="127"/>
      <c r="AE24" s="61"/>
      <c r="AF24" s="61"/>
      <c r="AG24" s="61"/>
      <c r="AH24" s="61"/>
      <c r="AI24" s="61"/>
      <c r="AJ24" s="61"/>
    </row>
    <row r="25" spans="1:36" ht="15.75">
      <c r="I25" s="62" t="s">
        <v>39</v>
      </c>
      <c r="J25" s="62"/>
      <c r="K25" s="215"/>
      <c r="L25" s="62"/>
      <c r="M25" s="15"/>
      <c r="N25" s="15"/>
      <c r="O25" s="15" t="s">
        <v>99</v>
      </c>
      <c r="P25" s="62"/>
      <c r="Q25" s="61"/>
      <c r="R25" s="61"/>
      <c r="S25" s="61"/>
      <c r="T25" s="61"/>
      <c r="U25" s="61"/>
      <c r="V25" s="61"/>
      <c r="W25" s="81"/>
      <c r="X25" s="82"/>
      <c r="Y25" s="82"/>
      <c r="Z25" s="82"/>
      <c r="AA25" s="28"/>
      <c r="AB25" s="129"/>
      <c r="AC25" s="127"/>
      <c r="AD25" s="127"/>
      <c r="AE25" s="61"/>
      <c r="AF25" s="61"/>
      <c r="AG25" s="61"/>
      <c r="AH25" s="61"/>
      <c r="AI25" s="61"/>
      <c r="AJ25" s="61"/>
    </row>
    <row r="26" spans="1:36" hidden="1"/>
    <row r="27" spans="1:36" hidden="1">
      <c r="N27" t="s">
        <v>112</v>
      </c>
      <c r="O27" t="s">
        <v>113</v>
      </c>
      <c r="P27" t="s">
        <v>114</v>
      </c>
      <c r="R27" s="134">
        <v>0.1</v>
      </c>
      <c r="T27" t="s">
        <v>115</v>
      </c>
    </row>
    <row r="28" spans="1:36" hidden="1">
      <c r="J28" t="s">
        <v>108</v>
      </c>
      <c r="K28" s="131">
        <f>B21+M21+AA21+AC21</f>
        <v>106</v>
      </c>
      <c r="L28" s="133">
        <f>G21+N21+AB21+AD21</f>
        <v>5196226</v>
      </c>
      <c r="N28" s="133">
        <f>O21</f>
        <v>202250</v>
      </c>
      <c r="O28" s="133">
        <f>P21</f>
        <v>13460</v>
      </c>
      <c r="P28" s="133">
        <f>H21</f>
        <v>58399</v>
      </c>
      <c r="R28">
        <f>L28*10%</f>
        <v>519622.60000000003</v>
      </c>
      <c r="T28" s="133">
        <f>L28+N28+O28+P28+R28</f>
        <v>5989957.5999999996</v>
      </c>
    </row>
    <row r="29" spans="1:36" hidden="1">
      <c r="J29" t="s">
        <v>109</v>
      </c>
      <c r="K29" s="131">
        <f>S21+U21</f>
        <v>1.5</v>
      </c>
      <c r="L29" s="133">
        <f>T21+V21</f>
        <v>74593.5</v>
      </c>
      <c r="R29">
        <f>L29*10%</f>
        <v>7459.35</v>
      </c>
      <c r="T29" s="133">
        <f>L29+N29+O29+P29+R29</f>
        <v>82052.850000000006</v>
      </c>
    </row>
    <row r="30" spans="1:36" hidden="1">
      <c r="J30" t="s">
        <v>111</v>
      </c>
      <c r="K30" s="131">
        <f>I21+Q21+W21+Y21</f>
        <v>58.300000000000004</v>
      </c>
      <c r="L30" s="133">
        <f>J21+R21+X21+Z21</f>
        <v>2930099.7</v>
      </c>
      <c r="N30" s="133">
        <f>K21</f>
        <v>208179</v>
      </c>
      <c r="O30" s="133">
        <f>L21</f>
        <v>20817</v>
      </c>
      <c r="R30">
        <f>L30*10%</f>
        <v>293009.97000000003</v>
      </c>
      <c r="T30" s="133">
        <f>L30+N30+O30+P30+R30</f>
        <v>3452105.6700000004</v>
      </c>
    </row>
    <row r="31" spans="1:36" hidden="1">
      <c r="J31" t="s">
        <v>110</v>
      </c>
      <c r="K31" s="131">
        <f>AE21</f>
        <v>1</v>
      </c>
      <c r="L31" s="133">
        <f>AF21</f>
        <v>51144</v>
      </c>
      <c r="R31">
        <f>L31*10%</f>
        <v>5114.4000000000005</v>
      </c>
      <c r="T31" s="133">
        <f>L31+N31+O31+P31+R31</f>
        <v>56258.400000000001</v>
      </c>
    </row>
    <row r="32" spans="1:36" hidden="1">
      <c r="L32" s="135">
        <f t="shared" ref="L32:T32" si="15">SUM(L28:L31)</f>
        <v>8252063.2000000002</v>
      </c>
      <c r="M32" s="135">
        <f t="shared" si="15"/>
        <v>0</v>
      </c>
      <c r="N32" s="135">
        <f t="shared" si="15"/>
        <v>410429</v>
      </c>
      <c r="O32" s="135">
        <f t="shared" si="15"/>
        <v>34277</v>
      </c>
      <c r="P32" s="135">
        <f t="shared" si="15"/>
        <v>58399</v>
      </c>
      <c r="Q32" s="135">
        <f t="shared" si="15"/>
        <v>0</v>
      </c>
      <c r="R32" s="135">
        <f t="shared" si="15"/>
        <v>825206.32000000018</v>
      </c>
      <c r="S32" s="135">
        <f t="shared" si="15"/>
        <v>0</v>
      </c>
      <c r="T32" s="135">
        <f t="shared" si="15"/>
        <v>9580374.5199999996</v>
      </c>
    </row>
    <row r="33" hidden="1"/>
    <row r="34" hidden="1"/>
  </sheetData>
  <mergeCells count="4">
    <mergeCell ref="M3:P3"/>
    <mergeCell ref="G6:R6"/>
    <mergeCell ref="G7:Q7"/>
    <mergeCell ref="G8:Q8"/>
  </mergeCells>
  <pageMargins left="0.70866141732283472" right="0.70866141732283472" top="0.74803149606299213" bottom="0.74803149606299213" header="0.31496062992125984" footer="0.31496062992125984"/>
  <pageSetup paperSize="9" scale="90" fitToWidth="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34"/>
  <sheetViews>
    <sheetView tabSelected="1" view="pageBreakPreview" zoomScale="120" zoomScaleSheetLayoutView="120" workbookViewId="0">
      <selection activeCell="P4" sqref="P4"/>
    </sheetView>
  </sheetViews>
  <sheetFormatPr defaultRowHeight="15"/>
  <cols>
    <col min="1" max="1" width="18" customWidth="1"/>
    <col min="2" max="2" width="3.85546875" customWidth="1"/>
    <col min="3" max="6" width="7.140625" hidden="1" customWidth="1"/>
    <col min="7" max="7" width="9.140625" style="100"/>
    <col min="8" max="8" width="6.140625" customWidth="1"/>
    <col min="9" max="9" width="4.28515625" customWidth="1"/>
    <col min="10" max="10" width="6.85546875" customWidth="1"/>
    <col min="11" max="11" width="6" customWidth="1"/>
    <col min="12" max="12" width="8.42578125" customWidth="1"/>
    <col min="13" max="13" width="4.42578125" customWidth="1"/>
    <col min="14" max="14" width="7.42578125" customWidth="1"/>
    <col min="15" max="15" width="6.85546875" customWidth="1"/>
    <col min="16" max="16" width="6.28515625" customWidth="1"/>
    <col min="17" max="17" width="3.85546875" customWidth="1"/>
    <col min="18" max="18" width="7.7109375" customWidth="1"/>
    <col min="19" max="19" width="3.85546875" customWidth="1"/>
    <col min="21" max="21" width="4.5703125" customWidth="1"/>
    <col min="22" max="22" width="6" customWidth="1"/>
    <col min="23" max="23" width="4" customWidth="1"/>
    <col min="24" max="24" width="6.85546875" customWidth="1"/>
    <col min="25" max="25" width="3.7109375" customWidth="1"/>
    <col min="26" max="26" width="7.140625" customWidth="1"/>
    <col min="27" max="27" width="2.85546875" customWidth="1"/>
    <col min="28" max="28" width="6.85546875" style="100" customWidth="1"/>
    <col min="29" max="29" width="3.140625" style="100" customWidth="1"/>
    <col min="30" max="30" width="7.28515625" style="100" customWidth="1"/>
    <col min="31" max="31" width="4.7109375" customWidth="1"/>
    <col min="32" max="32" width="6.7109375" customWidth="1"/>
    <col min="33" max="33" width="7.7109375" customWidth="1"/>
  </cols>
  <sheetData>
    <row r="1" spans="1:37">
      <c r="Q1" s="83"/>
      <c r="R1" s="83"/>
      <c r="S1" s="83"/>
      <c r="T1" s="83"/>
      <c r="U1" s="83"/>
      <c r="V1" s="122" t="s">
        <v>40</v>
      </c>
      <c r="W1" s="100"/>
      <c r="X1" s="100"/>
      <c r="Z1" s="83"/>
      <c r="AB1"/>
    </row>
    <row r="2" spans="1:37">
      <c r="M2" s="92"/>
      <c r="N2" s="92"/>
      <c r="O2" s="92"/>
      <c r="P2" s="92"/>
      <c r="Q2" s="83"/>
      <c r="R2" s="83"/>
      <c r="S2" s="83"/>
      <c r="T2" s="83"/>
      <c r="U2" s="83"/>
      <c r="V2" s="124" t="s">
        <v>125</v>
      </c>
      <c r="W2" s="100"/>
      <c r="X2" s="100"/>
      <c r="AB2"/>
    </row>
    <row r="3" spans="1:37">
      <c r="M3" s="294"/>
      <c r="N3" s="294"/>
      <c r="O3" s="294"/>
      <c r="P3" s="294"/>
      <c r="Q3" s="61"/>
      <c r="R3" s="61"/>
      <c r="S3" s="61"/>
      <c r="T3" s="61"/>
      <c r="U3" s="61"/>
      <c r="V3" s="125" t="s">
        <v>126</v>
      </c>
      <c r="W3" s="100"/>
      <c r="X3" s="125"/>
      <c r="Z3" s="69"/>
      <c r="AB3"/>
    </row>
    <row r="4" spans="1:37">
      <c r="M4" s="92"/>
      <c r="N4" s="92"/>
      <c r="O4" s="92"/>
      <c r="P4" s="92"/>
      <c r="Q4" s="61"/>
      <c r="R4" s="61"/>
      <c r="S4" s="61"/>
      <c r="T4" s="61"/>
      <c r="U4" s="61"/>
      <c r="V4" s="125" t="s">
        <v>98</v>
      </c>
      <c r="W4" s="100"/>
      <c r="X4" s="125"/>
      <c r="Z4" s="69"/>
      <c r="AB4"/>
    </row>
    <row r="5" spans="1:37">
      <c r="Q5" s="83"/>
      <c r="R5" s="83"/>
      <c r="S5" s="83"/>
      <c r="T5" s="83"/>
      <c r="U5" s="83"/>
      <c r="V5" s="124" t="s">
        <v>60</v>
      </c>
      <c r="W5" s="100"/>
      <c r="X5" s="100"/>
      <c r="AB5"/>
    </row>
    <row r="6" spans="1:37">
      <c r="G6" s="293" t="s">
        <v>97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67"/>
      <c r="T6" s="67"/>
      <c r="U6" s="67"/>
      <c r="V6" s="67"/>
      <c r="W6" s="83"/>
      <c r="X6" s="83"/>
      <c r="Y6" s="83"/>
      <c r="Z6" s="83"/>
    </row>
    <row r="7" spans="1:37">
      <c r="G7" s="295" t="s">
        <v>62</v>
      </c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83"/>
      <c r="S7" s="83"/>
      <c r="T7" s="83"/>
      <c r="U7" s="83"/>
      <c r="V7" s="83"/>
      <c r="W7" s="83"/>
      <c r="X7" s="83"/>
      <c r="Y7" s="83"/>
      <c r="Z7" s="83"/>
    </row>
    <row r="8" spans="1:37">
      <c r="G8" s="293" t="s">
        <v>161</v>
      </c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83"/>
      <c r="S8" s="83"/>
      <c r="T8" s="83"/>
      <c r="U8" s="83"/>
      <c r="V8" s="83"/>
      <c r="AI8" s="56"/>
      <c r="AJ8" s="56"/>
    </row>
    <row r="9" spans="1:37">
      <c r="B9" s="83"/>
      <c r="C9" s="83"/>
      <c r="D9" s="83"/>
      <c r="E9" s="83"/>
      <c r="F9" s="83"/>
      <c r="G9" s="122"/>
      <c r="H9" s="83"/>
      <c r="I9" s="83"/>
      <c r="J9" s="83"/>
      <c r="AI9" s="56"/>
      <c r="AJ9" s="56"/>
    </row>
    <row r="10" spans="1:37" ht="60" customHeight="1">
      <c r="A10" s="112" t="s">
        <v>63</v>
      </c>
      <c r="B10" s="114" t="s">
        <v>44</v>
      </c>
      <c r="C10" s="113" t="s">
        <v>101</v>
      </c>
      <c r="D10" s="113" t="s">
        <v>102</v>
      </c>
      <c r="E10" s="113" t="s">
        <v>104</v>
      </c>
      <c r="F10" s="113" t="s">
        <v>105</v>
      </c>
      <c r="G10" s="121" t="s">
        <v>85</v>
      </c>
      <c r="H10" s="114" t="s">
        <v>86</v>
      </c>
      <c r="I10" s="114" t="s">
        <v>87</v>
      </c>
      <c r="J10" s="113" t="s">
        <v>88</v>
      </c>
      <c r="K10" s="114" t="s">
        <v>89</v>
      </c>
      <c r="L10" s="113" t="s">
        <v>90</v>
      </c>
      <c r="M10" s="114" t="s">
        <v>44</v>
      </c>
      <c r="N10" s="113" t="s">
        <v>91</v>
      </c>
      <c r="O10" s="114" t="s">
        <v>89</v>
      </c>
      <c r="P10" s="113" t="s">
        <v>90</v>
      </c>
      <c r="Q10" s="114" t="s">
        <v>44</v>
      </c>
      <c r="R10" s="113" t="s">
        <v>92</v>
      </c>
      <c r="S10" s="114" t="s">
        <v>44</v>
      </c>
      <c r="T10" s="203" t="s">
        <v>106</v>
      </c>
      <c r="U10" s="114" t="s">
        <v>44</v>
      </c>
      <c r="V10" s="203" t="s">
        <v>107</v>
      </c>
      <c r="W10" s="114" t="s">
        <v>44</v>
      </c>
      <c r="X10" s="113" t="s">
        <v>93</v>
      </c>
      <c r="Y10" s="114" t="s">
        <v>44</v>
      </c>
      <c r="Z10" s="204" t="s">
        <v>94</v>
      </c>
      <c r="AA10" s="114" t="s">
        <v>44</v>
      </c>
      <c r="AB10" s="121" t="s">
        <v>95</v>
      </c>
      <c r="AC10" s="120" t="s">
        <v>44</v>
      </c>
      <c r="AD10" s="121" t="s">
        <v>96</v>
      </c>
      <c r="AE10" s="114" t="s">
        <v>44</v>
      </c>
      <c r="AF10" s="121" t="s">
        <v>103</v>
      </c>
      <c r="AG10" s="113" t="s">
        <v>70</v>
      </c>
      <c r="AH10" s="117" t="s">
        <v>50</v>
      </c>
      <c r="AI10" s="113" t="s">
        <v>80</v>
      </c>
      <c r="AJ10" s="75" t="s">
        <v>59</v>
      </c>
    </row>
    <row r="11" spans="1:37">
      <c r="A11" s="85" t="s">
        <v>26</v>
      </c>
      <c r="B11" s="86">
        <v>8</v>
      </c>
      <c r="C11" s="86">
        <v>28315</v>
      </c>
      <c r="D11" s="86">
        <v>30262</v>
      </c>
      <c r="E11" s="86">
        <v>32386</v>
      </c>
      <c r="F11" s="86">
        <v>34686</v>
      </c>
      <c r="G11" s="87">
        <f>B11*C11</f>
        <v>226520</v>
      </c>
      <c r="H11" s="87">
        <v>5309</v>
      </c>
      <c r="I11" s="86">
        <v>4.7</v>
      </c>
      <c r="J11" s="87">
        <f>I11*E11</f>
        <v>152214.20000000001</v>
      </c>
      <c r="K11" s="87">
        <v>23131</v>
      </c>
      <c r="L11" s="87">
        <v>2313</v>
      </c>
      <c r="M11" s="86">
        <v>3</v>
      </c>
      <c r="N11" s="87">
        <f>M11*C11</f>
        <v>84945</v>
      </c>
      <c r="O11" s="87">
        <v>20225</v>
      </c>
      <c r="P11" s="86">
        <v>1346</v>
      </c>
      <c r="Q11" s="86">
        <v>1</v>
      </c>
      <c r="R11" s="87">
        <f>Q11*E11</f>
        <v>32386</v>
      </c>
      <c r="S11" s="87"/>
      <c r="T11" s="87">
        <f>S11*D11</f>
        <v>0</v>
      </c>
      <c r="U11" s="87"/>
      <c r="V11" s="87"/>
      <c r="W11" s="87"/>
      <c r="X11" s="87">
        <f>W11*E11</f>
        <v>0</v>
      </c>
      <c r="Y11" s="87"/>
      <c r="Z11" s="87">
        <f>Y11*E11</f>
        <v>0</v>
      </c>
      <c r="AA11" s="87"/>
      <c r="AB11" s="87">
        <f>AA11*C11</f>
        <v>0</v>
      </c>
      <c r="AC11" s="87">
        <f>SUM(AA11:AB11)</f>
        <v>0</v>
      </c>
      <c r="AD11" s="87">
        <f>AC11*C11</f>
        <v>0</v>
      </c>
      <c r="AE11" s="87"/>
      <c r="AF11" s="87">
        <f>AE11*F11</f>
        <v>0</v>
      </c>
      <c r="AG11" s="88">
        <f>B11+I11+M11+Q11+S11+U11+W11+Y11+AA11+AC11+AE11</f>
        <v>16.7</v>
      </c>
      <c r="AH11" s="87">
        <f>(G11+J11+N11+R11+T11+V11+X11+Z11+AB11+AD11+AF11)*10%</f>
        <v>49606.520000000004</v>
      </c>
      <c r="AI11" s="87">
        <f>G11+J11+K11+L11+N11+O11+P11+R11+T11+V11+X11+Z11+AB11+AD11+AF11+AH11+H11</f>
        <v>597995.72</v>
      </c>
      <c r="AJ11" s="98">
        <f>(AI11*12)/1000</f>
        <v>7175.9486399999996</v>
      </c>
      <c r="AK11" s="133"/>
    </row>
    <row r="12" spans="1:37" s="100" customFormat="1">
      <c r="A12" s="86" t="s">
        <v>27</v>
      </c>
      <c r="B12" s="86">
        <v>10</v>
      </c>
      <c r="C12" s="86">
        <v>28315</v>
      </c>
      <c r="D12" s="86">
        <v>30262</v>
      </c>
      <c r="E12" s="86">
        <v>32386</v>
      </c>
      <c r="F12" s="86">
        <v>34686</v>
      </c>
      <c r="G12" s="87">
        <f t="shared" ref="G12:G20" si="0">B12*C12</f>
        <v>283150</v>
      </c>
      <c r="H12" s="87">
        <v>5309</v>
      </c>
      <c r="I12" s="86">
        <v>4.7</v>
      </c>
      <c r="J12" s="87">
        <f t="shared" ref="J12:J20" si="1">I12*E12</f>
        <v>152214.20000000001</v>
      </c>
      <c r="K12" s="87">
        <v>23131</v>
      </c>
      <c r="L12" s="87">
        <v>2313</v>
      </c>
      <c r="M12" s="86">
        <v>3</v>
      </c>
      <c r="N12" s="87">
        <f t="shared" ref="N12:N20" si="2">M12*C12</f>
        <v>84945</v>
      </c>
      <c r="O12" s="87">
        <v>20225</v>
      </c>
      <c r="P12" s="86">
        <v>1346</v>
      </c>
      <c r="Q12" s="86">
        <v>1</v>
      </c>
      <c r="R12" s="87">
        <f t="shared" ref="R12:R20" si="3">Q12*E12</f>
        <v>32386</v>
      </c>
      <c r="S12" s="87"/>
      <c r="T12" s="87">
        <f t="shared" ref="T12:T20" si="4">S12*D12</f>
        <v>0</v>
      </c>
      <c r="U12" s="87"/>
      <c r="V12" s="87"/>
      <c r="W12" s="87">
        <v>1</v>
      </c>
      <c r="X12" s="87">
        <f t="shared" ref="X12:X20" si="5">W12*E12</f>
        <v>32386</v>
      </c>
      <c r="Y12" s="87">
        <v>1</v>
      </c>
      <c r="Z12" s="87">
        <f t="shared" ref="Z12:Z20" si="6">Y12*E12</f>
        <v>32386</v>
      </c>
      <c r="AA12" s="87"/>
      <c r="AB12" s="87">
        <f t="shared" ref="AB12:AB20" si="7">AA12*C12</f>
        <v>0</v>
      </c>
      <c r="AC12" s="87">
        <v>1</v>
      </c>
      <c r="AD12" s="87">
        <f t="shared" ref="AD12:AD20" si="8">AC12*C12</f>
        <v>28315</v>
      </c>
      <c r="AE12" s="87"/>
      <c r="AF12" s="87">
        <f t="shared" ref="AF12:AF20" si="9">AE12*F12</f>
        <v>0</v>
      </c>
      <c r="AG12" s="88">
        <f t="shared" ref="AG12:AG20" si="10">B12+I12+M12+Q12+S12+U12+W12+Y12+AA12+AC12+AE12</f>
        <v>21.7</v>
      </c>
      <c r="AH12" s="87">
        <f t="shared" ref="AH12:AH20" si="11">(G12+J12+N12+R12+T12+V12+X12+Z12+AB12+AD12+AF12)*10%</f>
        <v>64578.22</v>
      </c>
      <c r="AI12" s="87">
        <f t="shared" ref="AI12:AI20" si="12">G12+J12+K12+L12+N12+O12+P12+R12+T12+V12+X12+Z12+AB12+AD12+AF12+AH12+H12</f>
        <v>762684.41999999993</v>
      </c>
      <c r="AJ12" s="98">
        <f t="shared" ref="AJ12:AJ20" si="13">(AI12*12)/1000</f>
        <v>9152.2130399999987</v>
      </c>
      <c r="AK12" s="133"/>
    </row>
    <row r="13" spans="1:37" s="100" customFormat="1">
      <c r="A13" s="86" t="s">
        <v>28</v>
      </c>
      <c r="B13" s="86">
        <v>6</v>
      </c>
      <c r="C13" s="86">
        <v>28315</v>
      </c>
      <c r="D13" s="86">
        <v>30262</v>
      </c>
      <c r="E13" s="86">
        <v>32386</v>
      </c>
      <c r="F13" s="86">
        <v>34686</v>
      </c>
      <c r="G13" s="87">
        <f t="shared" si="0"/>
        <v>169890</v>
      </c>
      <c r="H13" s="87">
        <v>5309</v>
      </c>
      <c r="I13" s="86">
        <v>4.7</v>
      </c>
      <c r="J13" s="87">
        <f t="shared" si="1"/>
        <v>152214.20000000001</v>
      </c>
      <c r="K13" s="87">
        <v>23131</v>
      </c>
      <c r="L13" s="87">
        <v>2313</v>
      </c>
      <c r="M13" s="86">
        <v>3</v>
      </c>
      <c r="N13" s="87">
        <f t="shared" si="2"/>
        <v>84945</v>
      </c>
      <c r="O13" s="87">
        <v>20225</v>
      </c>
      <c r="P13" s="86">
        <v>1346</v>
      </c>
      <c r="Q13" s="86">
        <v>1</v>
      </c>
      <c r="R13" s="87">
        <f t="shared" si="3"/>
        <v>32386</v>
      </c>
      <c r="S13" s="87"/>
      <c r="T13" s="87">
        <f t="shared" si="4"/>
        <v>0</v>
      </c>
      <c r="U13" s="87"/>
      <c r="V13" s="87"/>
      <c r="W13" s="87"/>
      <c r="X13" s="87">
        <f t="shared" si="5"/>
        <v>0</v>
      </c>
      <c r="Y13" s="87"/>
      <c r="Z13" s="87">
        <f t="shared" si="6"/>
        <v>0</v>
      </c>
      <c r="AA13" s="87"/>
      <c r="AB13" s="87">
        <f t="shared" si="7"/>
        <v>0</v>
      </c>
      <c r="AC13" s="87">
        <f>SUM(AA13:AB13)</f>
        <v>0</v>
      </c>
      <c r="AD13" s="87">
        <f t="shared" si="8"/>
        <v>0</v>
      </c>
      <c r="AE13" s="87"/>
      <c r="AF13" s="87">
        <f t="shared" si="9"/>
        <v>0</v>
      </c>
      <c r="AG13" s="88">
        <f t="shared" si="10"/>
        <v>14.7</v>
      </c>
      <c r="AH13" s="87">
        <f t="shared" si="11"/>
        <v>43943.520000000004</v>
      </c>
      <c r="AI13" s="87">
        <f t="shared" si="12"/>
        <v>535702.72</v>
      </c>
      <c r="AJ13" s="98">
        <f t="shared" si="13"/>
        <v>6428.43264</v>
      </c>
      <c r="AK13" s="133"/>
    </row>
    <row r="14" spans="1:37" s="100" customFormat="1">
      <c r="A14" s="86" t="s">
        <v>29</v>
      </c>
      <c r="B14" s="88">
        <v>13.5</v>
      </c>
      <c r="C14" s="86">
        <v>28315</v>
      </c>
      <c r="D14" s="86">
        <v>30262</v>
      </c>
      <c r="E14" s="86">
        <v>32386</v>
      </c>
      <c r="F14" s="86">
        <v>34686</v>
      </c>
      <c r="G14" s="87">
        <f t="shared" si="0"/>
        <v>382252.5</v>
      </c>
      <c r="H14" s="87">
        <v>10618</v>
      </c>
      <c r="I14" s="86">
        <v>0</v>
      </c>
      <c r="J14" s="87">
        <f t="shared" si="1"/>
        <v>0</v>
      </c>
      <c r="K14" s="87"/>
      <c r="L14" s="87"/>
      <c r="M14" s="86">
        <v>3</v>
      </c>
      <c r="N14" s="87">
        <f t="shared" si="2"/>
        <v>84945</v>
      </c>
      <c r="O14" s="87">
        <v>20225</v>
      </c>
      <c r="P14" s="86">
        <v>1346</v>
      </c>
      <c r="Q14" s="86">
        <v>4</v>
      </c>
      <c r="R14" s="87">
        <f t="shared" si="3"/>
        <v>129544</v>
      </c>
      <c r="S14" s="87"/>
      <c r="T14" s="87">
        <f t="shared" si="4"/>
        <v>0</v>
      </c>
      <c r="U14" s="87"/>
      <c r="V14" s="87"/>
      <c r="W14" s="87">
        <v>1</v>
      </c>
      <c r="X14" s="87">
        <f t="shared" si="5"/>
        <v>32386</v>
      </c>
      <c r="Y14" s="87"/>
      <c r="Z14" s="87">
        <f t="shared" si="6"/>
        <v>0</v>
      </c>
      <c r="AA14" s="87">
        <v>2</v>
      </c>
      <c r="AB14" s="87">
        <f t="shared" si="7"/>
        <v>56630</v>
      </c>
      <c r="AC14" s="87">
        <v>3</v>
      </c>
      <c r="AD14" s="87">
        <f t="shared" si="8"/>
        <v>84945</v>
      </c>
      <c r="AE14" s="87"/>
      <c r="AF14" s="87">
        <f t="shared" si="9"/>
        <v>0</v>
      </c>
      <c r="AG14" s="88">
        <f t="shared" si="10"/>
        <v>26.5</v>
      </c>
      <c r="AH14" s="87">
        <f t="shared" si="11"/>
        <v>77070.25</v>
      </c>
      <c r="AI14" s="87">
        <f t="shared" si="12"/>
        <v>879961.75</v>
      </c>
      <c r="AJ14" s="98">
        <f t="shared" si="13"/>
        <v>10559.540999999999</v>
      </c>
      <c r="AK14" s="133"/>
    </row>
    <row r="15" spans="1:37" s="100" customFormat="1">
      <c r="A15" s="86" t="s">
        <v>30</v>
      </c>
      <c r="B15" s="86">
        <v>5</v>
      </c>
      <c r="C15" s="86">
        <v>28315</v>
      </c>
      <c r="D15" s="86">
        <v>30262</v>
      </c>
      <c r="E15" s="86">
        <v>32386</v>
      </c>
      <c r="F15" s="86">
        <v>34686</v>
      </c>
      <c r="G15" s="87">
        <f t="shared" si="0"/>
        <v>141575</v>
      </c>
      <c r="H15" s="87">
        <v>5309</v>
      </c>
      <c r="I15" s="86">
        <v>4.7</v>
      </c>
      <c r="J15" s="87">
        <f t="shared" si="1"/>
        <v>152214.20000000001</v>
      </c>
      <c r="K15" s="87">
        <v>23131</v>
      </c>
      <c r="L15" s="87">
        <v>2313</v>
      </c>
      <c r="M15" s="86">
        <v>3</v>
      </c>
      <c r="N15" s="87">
        <f t="shared" si="2"/>
        <v>84945</v>
      </c>
      <c r="O15" s="87">
        <v>20225</v>
      </c>
      <c r="P15" s="86">
        <v>1346</v>
      </c>
      <c r="Q15" s="86">
        <v>1</v>
      </c>
      <c r="R15" s="87">
        <f t="shared" si="3"/>
        <v>32386</v>
      </c>
      <c r="S15" s="87"/>
      <c r="T15" s="87">
        <f t="shared" si="4"/>
        <v>0</v>
      </c>
      <c r="U15" s="87"/>
      <c r="V15" s="87"/>
      <c r="W15" s="87"/>
      <c r="X15" s="87">
        <f t="shared" si="5"/>
        <v>0</v>
      </c>
      <c r="Y15" s="87"/>
      <c r="Z15" s="87">
        <f t="shared" si="6"/>
        <v>0</v>
      </c>
      <c r="AA15" s="87"/>
      <c r="AB15" s="87">
        <f t="shared" si="7"/>
        <v>0</v>
      </c>
      <c r="AC15" s="87">
        <f>SUM(AA15:AB15)</f>
        <v>0</v>
      </c>
      <c r="AD15" s="87">
        <f t="shared" si="8"/>
        <v>0</v>
      </c>
      <c r="AE15" s="87"/>
      <c r="AF15" s="87">
        <f t="shared" si="9"/>
        <v>0</v>
      </c>
      <c r="AG15" s="88">
        <f t="shared" si="10"/>
        <v>13.7</v>
      </c>
      <c r="AH15" s="87">
        <f t="shared" si="11"/>
        <v>41112.020000000004</v>
      </c>
      <c r="AI15" s="87">
        <f t="shared" si="12"/>
        <v>504556.22000000003</v>
      </c>
      <c r="AJ15" s="98">
        <f t="shared" si="13"/>
        <v>6054.6746400000002</v>
      </c>
      <c r="AK15" s="133"/>
    </row>
    <row r="16" spans="1:37" s="100" customFormat="1">
      <c r="A16" s="86" t="s">
        <v>31</v>
      </c>
      <c r="B16" s="86">
        <v>4</v>
      </c>
      <c r="C16" s="86">
        <v>28315</v>
      </c>
      <c r="D16" s="86">
        <v>30262</v>
      </c>
      <c r="E16" s="86">
        <v>32386</v>
      </c>
      <c r="F16" s="86">
        <v>34686</v>
      </c>
      <c r="G16" s="87">
        <f t="shared" si="0"/>
        <v>113260</v>
      </c>
      <c r="H16" s="87">
        <v>5309</v>
      </c>
      <c r="I16" s="86">
        <v>4.7</v>
      </c>
      <c r="J16" s="87">
        <f t="shared" si="1"/>
        <v>152214.20000000001</v>
      </c>
      <c r="K16" s="87">
        <v>23131</v>
      </c>
      <c r="L16" s="87">
        <v>2313</v>
      </c>
      <c r="M16" s="86">
        <v>3</v>
      </c>
      <c r="N16" s="87">
        <f t="shared" si="2"/>
        <v>84945</v>
      </c>
      <c r="O16" s="87">
        <v>20225</v>
      </c>
      <c r="P16" s="86">
        <v>1346</v>
      </c>
      <c r="Q16" s="86">
        <v>1</v>
      </c>
      <c r="R16" s="87">
        <f t="shared" si="3"/>
        <v>32386</v>
      </c>
      <c r="S16" s="87"/>
      <c r="T16" s="87">
        <f t="shared" si="4"/>
        <v>0</v>
      </c>
      <c r="U16" s="87"/>
      <c r="V16" s="87"/>
      <c r="W16" s="87"/>
      <c r="X16" s="87">
        <f t="shared" si="5"/>
        <v>0</v>
      </c>
      <c r="Y16" s="87"/>
      <c r="Z16" s="87">
        <f t="shared" si="6"/>
        <v>0</v>
      </c>
      <c r="AA16" s="87"/>
      <c r="AB16" s="87">
        <f t="shared" si="7"/>
        <v>0</v>
      </c>
      <c r="AC16" s="87">
        <f>SUM(AA16:AB16)</f>
        <v>0</v>
      </c>
      <c r="AD16" s="87">
        <f t="shared" si="8"/>
        <v>0</v>
      </c>
      <c r="AE16" s="130"/>
      <c r="AF16" s="87">
        <f t="shared" si="9"/>
        <v>0</v>
      </c>
      <c r="AG16" s="88">
        <f t="shared" si="10"/>
        <v>12.7</v>
      </c>
      <c r="AH16" s="87">
        <f t="shared" si="11"/>
        <v>38280.520000000004</v>
      </c>
      <c r="AI16" s="87">
        <f t="shared" si="12"/>
        <v>473409.72000000003</v>
      </c>
      <c r="AJ16" s="98">
        <f t="shared" si="13"/>
        <v>5680.9166400000004</v>
      </c>
      <c r="AK16" s="133"/>
    </row>
    <row r="17" spans="1:37" s="227" customFormat="1">
      <c r="A17" s="224" t="s">
        <v>32</v>
      </c>
      <c r="B17" s="224">
        <v>5.5</v>
      </c>
      <c r="C17" s="224">
        <v>28315</v>
      </c>
      <c r="D17" s="224">
        <v>30262</v>
      </c>
      <c r="E17" s="224">
        <v>32386</v>
      </c>
      <c r="F17" s="224">
        <v>34686</v>
      </c>
      <c r="G17" s="84">
        <f t="shared" si="0"/>
        <v>155732.5</v>
      </c>
      <c r="H17" s="84">
        <v>5309</v>
      </c>
      <c r="I17" s="224">
        <v>4.7</v>
      </c>
      <c r="J17" s="84">
        <f t="shared" si="1"/>
        <v>152214.20000000001</v>
      </c>
      <c r="K17" s="84">
        <v>23131</v>
      </c>
      <c r="L17" s="84">
        <v>2313</v>
      </c>
      <c r="M17" s="224">
        <v>3</v>
      </c>
      <c r="N17" s="84">
        <f t="shared" si="2"/>
        <v>84945</v>
      </c>
      <c r="O17" s="84">
        <v>20225</v>
      </c>
      <c r="P17" s="224">
        <v>1346</v>
      </c>
      <c r="Q17" s="224">
        <v>1</v>
      </c>
      <c r="R17" s="84">
        <f t="shared" si="3"/>
        <v>32386</v>
      </c>
      <c r="S17" s="84">
        <v>1</v>
      </c>
      <c r="T17" s="84">
        <f t="shared" si="4"/>
        <v>30262</v>
      </c>
      <c r="U17" s="72">
        <v>0.5</v>
      </c>
      <c r="V17" s="84">
        <f>U17*D17</f>
        <v>15131</v>
      </c>
      <c r="W17" s="84"/>
      <c r="X17" s="84">
        <f t="shared" si="5"/>
        <v>0</v>
      </c>
      <c r="Y17" s="84"/>
      <c r="Z17" s="84">
        <f t="shared" si="6"/>
        <v>0</v>
      </c>
      <c r="AA17" s="84">
        <v>1</v>
      </c>
      <c r="AB17" s="84">
        <f t="shared" si="7"/>
        <v>28315</v>
      </c>
      <c r="AC17" s="84"/>
      <c r="AD17" s="84">
        <f t="shared" si="8"/>
        <v>0</v>
      </c>
      <c r="AE17" s="251">
        <v>1</v>
      </c>
      <c r="AF17" s="84">
        <f t="shared" si="9"/>
        <v>34686</v>
      </c>
      <c r="AG17" s="72">
        <f t="shared" si="10"/>
        <v>17.7</v>
      </c>
      <c r="AH17" s="84">
        <f t="shared" si="11"/>
        <v>53367.17</v>
      </c>
      <c r="AI17" s="84">
        <f t="shared" si="12"/>
        <v>639362.87</v>
      </c>
      <c r="AJ17" s="226">
        <f t="shared" si="13"/>
        <v>7672.3544399999992</v>
      </c>
      <c r="AK17" s="133"/>
    </row>
    <row r="18" spans="1:37" s="100" customFormat="1">
      <c r="A18" s="86" t="s">
        <v>33</v>
      </c>
      <c r="B18" s="86">
        <v>6</v>
      </c>
      <c r="C18" s="86">
        <v>28315</v>
      </c>
      <c r="D18" s="86">
        <v>30262</v>
      </c>
      <c r="E18" s="86">
        <v>32386</v>
      </c>
      <c r="F18" s="86">
        <v>34686</v>
      </c>
      <c r="G18" s="87">
        <f>B18*C18</f>
        <v>169890</v>
      </c>
      <c r="H18" s="87">
        <v>5309</v>
      </c>
      <c r="I18" s="86">
        <v>4.7</v>
      </c>
      <c r="J18" s="87">
        <f t="shared" si="1"/>
        <v>152214.20000000001</v>
      </c>
      <c r="K18" s="87">
        <v>23131</v>
      </c>
      <c r="L18" s="87">
        <v>2313</v>
      </c>
      <c r="M18" s="86">
        <v>3</v>
      </c>
      <c r="N18" s="87">
        <f t="shared" si="2"/>
        <v>84945</v>
      </c>
      <c r="O18" s="87">
        <v>20225</v>
      </c>
      <c r="P18" s="86">
        <v>1346</v>
      </c>
      <c r="Q18" s="86">
        <v>1</v>
      </c>
      <c r="R18" s="87">
        <f t="shared" si="3"/>
        <v>32386</v>
      </c>
      <c r="S18" s="87"/>
      <c r="T18" s="87">
        <f t="shared" si="4"/>
        <v>0</v>
      </c>
      <c r="U18" s="87"/>
      <c r="V18" s="87"/>
      <c r="W18" s="87"/>
      <c r="X18" s="87">
        <f t="shared" si="5"/>
        <v>0</v>
      </c>
      <c r="Y18" s="87"/>
      <c r="Z18" s="87">
        <f t="shared" si="6"/>
        <v>0</v>
      </c>
      <c r="AA18" s="87"/>
      <c r="AB18" s="87">
        <f t="shared" si="7"/>
        <v>0</v>
      </c>
      <c r="AC18" s="87">
        <f>SUM(AA18:AB18)</f>
        <v>0</v>
      </c>
      <c r="AD18" s="87">
        <f t="shared" si="8"/>
        <v>0</v>
      </c>
      <c r="AE18" s="130"/>
      <c r="AF18" s="87">
        <f t="shared" si="9"/>
        <v>0</v>
      </c>
      <c r="AG18" s="88">
        <f t="shared" si="10"/>
        <v>14.7</v>
      </c>
      <c r="AH18" s="87">
        <f t="shared" si="11"/>
        <v>43943.520000000004</v>
      </c>
      <c r="AI18" s="87">
        <f t="shared" si="12"/>
        <v>535702.72</v>
      </c>
      <c r="AJ18" s="98">
        <f t="shared" si="13"/>
        <v>6428.43264</v>
      </c>
      <c r="AK18" s="133"/>
    </row>
    <row r="19" spans="1:37" s="100" customFormat="1">
      <c r="A19" s="86" t="s">
        <v>34</v>
      </c>
      <c r="B19" s="86">
        <v>5</v>
      </c>
      <c r="C19" s="86">
        <v>28315</v>
      </c>
      <c r="D19" s="86">
        <v>30262</v>
      </c>
      <c r="E19" s="86">
        <v>32386</v>
      </c>
      <c r="F19" s="86">
        <v>34686</v>
      </c>
      <c r="G19" s="87">
        <f t="shared" si="0"/>
        <v>141575</v>
      </c>
      <c r="H19" s="87">
        <v>5309</v>
      </c>
      <c r="I19" s="86">
        <v>4.7</v>
      </c>
      <c r="J19" s="87">
        <f t="shared" si="1"/>
        <v>152214.20000000001</v>
      </c>
      <c r="K19" s="87">
        <v>23131</v>
      </c>
      <c r="L19" s="87">
        <v>2313</v>
      </c>
      <c r="M19" s="86">
        <v>3</v>
      </c>
      <c r="N19" s="87">
        <f t="shared" si="2"/>
        <v>84945</v>
      </c>
      <c r="O19" s="87">
        <v>20225</v>
      </c>
      <c r="P19" s="86">
        <v>1346</v>
      </c>
      <c r="Q19" s="86">
        <v>1</v>
      </c>
      <c r="R19" s="87">
        <f t="shared" si="3"/>
        <v>32386</v>
      </c>
      <c r="S19" s="87"/>
      <c r="T19" s="87">
        <f t="shared" si="4"/>
        <v>0</v>
      </c>
      <c r="U19" s="87"/>
      <c r="V19" s="87"/>
      <c r="W19" s="87"/>
      <c r="X19" s="87">
        <f t="shared" si="5"/>
        <v>0</v>
      </c>
      <c r="Y19" s="87"/>
      <c r="Z19" s="87">
        <f t="shared" si="6"/>
        <v>0</v>
      </c>
      <c r="AA19" s="87"/>
      <c r="AB19" s="87">
        <f t="shared" si="7"/>
        <v>0</v>
      </c>
      <c r="AC19" s="87">
        <f>SUM(AA19:AB19)</f>
        <v>0</v>
      </c>
      <c r="AD19" s="87">
        <f t="shared" si="8"/>
        <v>0</v>
      </c>
      <c r="AE19" s="87"/>
      <c r="AF19" s="87">
        <f t="shared" si="9"/>
        <v>0</v>
      </c>
      <c r="AG19" s="88">
        <f t="shared" si="10"/>
        <v>13.7</v>
      </c>
      <c r="AH19" s="87">
        <f t="shared" si="11"/>
        <v>41112.020000000004</v>
      </c>
      <c r="AI19" s="87">
        <f t="shared" si="12"/>
        <v>504556.22000000003</v>
      </c>
      <c r="AJ19" s="98">
        <f t="shared" si="13"/>
        <v>6054.6746400000002</v>
      </c>
      <c r="AK19" s="133"/>
    </row>
    <row r="20" spans="1:37" s="100" customFormat="1">
      <c r="A20" s="86" t="s">
        <v>35</v>
      </c>
      <c r="B20" s="86">
        <v>6</v>
      </c>
      <c r="C20" s="86">
        <v>28315</v>
      </c>
      <c r="D20" s="86">
        <v>30262</v>
      </c>
      <c r="E20" s="86">
        <v>32386</v>
      </c>
      <c r="F20" s="86">
        <v>34686</v>
      </c>
      <c r="G20" s="87">
        <f t="shared" si="0"/>
        <v>169890</v>
      </c>
      <c r="H20" s="87">
        <v>5309</v>
      </c>
      <c r="I20" s="86">
        <v>4.7</v>
      </c>
      <c r="J20" s="87">
        <f t="shared" si="1"/>
        <v>152214.20000000001</v>
      </c>
      <c r="K20" s="87">
        <v>23131</v>
      </c>
      <c r="L20" s="87">
        <v>2313</v>
      </c>
      <c r="M20" s="86">
        <v>3</v>
      </c>
      <c r="N20" s="87">
        <f t="shared" si="2"/>
        <v>84945</v>
      </c>
      <c r="O20" s="87">
        <v>20225</v>
      </c>
      <c r="P20" s="86">
        <v>1346</v>
      </c>
      <c r="Q20" s="86">
        <v>1</v>
      </c>
      <c r="R20" s="87">
        <f t="shared" si="3"/>
        <v>32386</v>
      </c>
      <c r="S20" s="87"/>
      <c r="T20" s="87">
        <f t="shared" si="4"/>
        <v>0</v>
      </c>
      <c r="U20" s="87"/>
      <c r="V20" s="87"/>
      <c r="W20" s="87"/>
      <c r="X20" s="87">
        <f t="shared" si="5"/>
        <v>0</v>
      </c>
      <c r="Y20" s="87"/>
      <c r="Z20" s="87">
        <f t="shared" si="6"/>
        <v>0</v>
      </c>
      <c r="AA20" s="87"/>
      <c r="AB20" s="87">
        <f t="shared" si="7"/>
        <v>0</v>
      </c>
      <c r="AC20" s="87">
        <f>SUM(AA20:AB20)</f>
        <v>0</v>
      </c>
      <c r="AD20" s="87">
        <f t="shared" si="8"/>
        <v>0</v>
      </c>
      <c r="AE20" s="87"/>
      <c r="AF20" s="87">
        <f t="shared" si="9"/>
        <v>0</v>
      </c>
      <c r="AG20" s="88">
        <f t="shared" si="10"/>
        <v>14.7</v>
      </c>
      <c r="AH20" s="87">
        <f t="shared" si="11"/>
        <v>43943.520000000004</v>
      </c>
      <c r="AI20" s="87">
        <f t="shared" si="12"/>
        <v>535702.72</v>
      </c>
      <c r="AJ20" s="98">
        <f t="shared" si="13"/>
        <v>6428.43264</v>
      </c>
      <c r="AK20" s="133"/>
    </row>
    <row r="21" spans="1:37">
      <c r="A21" s="89" t="s">
        <v>72</v>
      </c>
      <c r="B21" s="89">
        <f>SUM(B11:B20)</f>
        <v>69</v>
      </c>
      <c r="C21" s="89">
        <f t="shared" ref="C21:AJ21" si="14">SUM(C11:C20)</f>
        <v>283150</v>
      </c>
      <c r="D21" s="89">
        <f t="shared" si="14"/>
        <v>302620</v>
      </c>
      <c r="E21" s="89">
        <f t="shared" si="14"/>
        <v>323860</v>
      </c>
      <c r="F21" s="89">
        <f t="shared" si="14"/>
        <v>346860</v>
      </c>
      <c r="G21" s="89">
        <f t="shared" si="14"/>
        <v>1953735</v>
      </c>
      <c r="H21" s="89">
        <f t="shared" si="14"/>
        <v>58399</v>
      </c>
      <c r="I21" s="89">
        <f t="shared" si="14"/>
        <v>42.300000000000004</v>
      </c>
      <c r="J21" s="252">
        <f t="shared" si="14"/>
        <v>1369927.7999999998</v>
      </c>
      <c r="K21" s="252">
        <f t="shared" si="14"/>
        <v>208179</v>
      </c>
      <c r="L21" s="89">
        <f t="shared" si="14"/>
        <v>20817</v>
      </c>
      <c r="M21" s="89">
        <f t="shared" si="14"/>
        <v>30</v>
      </c>
      <c r="N21" s="89">
        <f t="shared" si="14"/>
        <v>849450</v>
      </c>
      <c r="O21" s="89">
        <f t="shared" si="14"/>
        <v>202250</v>
      </c>
      <c r="P21" s="89">
        <f t="shared" si="14"/>
        <v>13460</v>
      </c>
      <c r="Q21" s="89">
        <f t="shared" si="14"/>
        <v>13</v>
      </c>
      <c r="R21" s="89">
        <f t="shared" si="14"/>
        <v>421018</v>
      </c>
      <c r="S21" s="89">
        <f t="shared" si="14"/>
        <v>1</v>
      </c>
      <c r="T21" s="89">
        <f t="shared" si="14"/>
        <v>30262</v>
      </c>
      <c r="U21" s="89">
        <f t="shared" si="14"/>
        <v>0.5</v>
      </c>
      <c r="V21" s="252">
        <f t="shared" si="14"/>
        <v>15131</v>
      </c>
      <c r="W21" s="89">
        <f t="shared" si="14"/>
        <v>2</v>
      </c>
      <c r="X21" s="252">
        <f t="shared" si="14"/>
        <v>64772</v>
      </c>
      <c r="Y21" s="89">
        <f t="shared" si="14"/>
        <v>1</v>
      </c>
      <c r="Z21" s="252">
        <f t="shared" si="14"/>
        <v>32386</v>
      </c>
      <c r="AA21" s="89">
        <f t="shared" si="14"/>
        <v>3</v>
      </c>
      <c r="AB21" s="252">
        <f t="shared" si="14"/>
        <v>84945</v>
      </c>
      <c r="AC21" s="89">
        <f t="shared" si="14"/>
        <v>4</v>
      </c>
      <c r="AD21" s="252">
        <f t="shared" si="14"/>
        <v>113260</v>
      </c>
      <c r="AE21" s="89">
        <f t="shared" si="14"/>
        <v>1</v>
      </c>
      <c r="AF21" s="252">
        <f t="shared" si="14"/>
        <v>34686</v>
      </c>
      <c r="AG21" s="89">
        <f t="shared" si="14"/>
        <v>166.79999999999998</v>
      </c>
      <c r="AH21" s="252">
        <f t="shared" si="14"/>
        <v>496957.28000000009</v>
      </c>
      <c r="AI21" s="252">
        <f t="shared" si="14"/>
        <v>5969635.0799999991</v>
      </c>
      <c r="AJ21" s="252">
        <f t="shared" si="14"/>
        <v>71635.620959999986</v>
      </c>
    </row>
    <row r="22" spans="1:37">
      <c r="A22" s="58"/>
      <c r="B22" s="93"/>
      <c r="C22" s="94"/>
      <c r="D22" s="94"/>
      <c r="E22" s="94"/>
      <c r="F22" s="94"/>
      <c r="G22" s="123"/>
      <c r="H22" s="95"/>
      <c r="I22" s="90"/>
      <c r="J22" s="94"/>
      <c r="K22" s="90"/>
      <c r="L22" s="59"/>
      <c r="M22" s="90"/>
      <c r="N22" s="59"/>
      <c r="O22" s="59"/>
      <c r="P22" s="59"/>
      <c r="Q22" s="90"/>
      <c r="R22" s="59"/>
      <c r="S22" s="59"/>
      <c r="T22" s="59"/>
      <c r="U22" s="59"/>
      <c r="V22" s="59"/>
      <c r="W22" s="60"/>
      <c r="X22" s="60"/>
      <c r="Y22" s="60"/>
      <c r="Z22" s="60"/>
      <c r="AA22" s="59"/>
      <c r="AB22" s="60"/>
      <c r="AC22" s="60"/>
      <c r="AD22" s="60"/>
      <c r="AE22" s="59"/>
      <c r="AF22" s="59"/>
      <c r="AG22" s="60"/>
      <c r="AH22" s="60"/>
      <c r="AI22" s="59"/>
      <c r="AJ22" s="59"/>
    </row>
    <row r="23" spans="1:37">
      <c r="I23" s="4" t="s">
        <v>37</v>
      </c>
      <c r="J23" s="4"/>
      <c r="K23" s="4"/>
      <c r="L23" s="4"/>
      <c r="M23" s="65"/>
      <c r="N23" s="15"/>
      <c r="O23" s="15" t="s">
        <v>38</v>
      </c>
      <c r="P23" s="62"/>
      <c r="Q23" s="61"/>
      <c r="R23" s="61"/>
      <c r="S23" s="61"/>
      <c r="T23" s="61"/>
      <c r="U23" s="61"/>
      <c r="V23" s="61"/>
      <c r="W23" s="77"/>
      <c r="X23" s="78"/>
      <c r="Y23" s="78"/>
      <c r="Z23" s="78"/>
      <c r="AA23" s="96"/>
      <c r="AB23" s="126"/>
      <c r="AC23" s="127"/>
      <c r="AD23" s="127"/>
      <c r="AE23" s="61"/>
      <c r="AF23" s="61"/>
      <c r="AG23" s="61"/>
      <c r="AH23" s="61"/>
      <c r="AI23" s="97"/>
      <c r="AJ23" s="61"/>
    </row>
    <row r="24" spans="1:37">
      <c r="I24" s="3"/>
      <c r="J24" s="3"/>
      <c r="K24" s="66"/>
      <c r="L24" s="3"/>
      <c r="M24" s="63"/>
      <c r="N24" s="63"/>
      <c r="O24" s="63"/>
      <c r="P24" s="3"/>
      <c r="Q24" s="61"/>
      <c r="R24" s="61"/>
      <c r="S24" s="61"/>
      <c r="T24" s="61"/>
      <c r="U24" s="61"/>
      <c r="V24" s="61"/>
      <c r="W24" s="80"/>
      <c r="X24" s="80"/>
      <c r="Y24" s="80"/>
      <c r="Z24" s="80"/>
      <c r="AA24" s="79"/>
      <c r="AB24" s="128"/>
      <c r="AC24" s="127"/>
      <c r="AD24" s="127"/>
      <c r="AE24" s="61"/>
      <c r="AF24" s="61"/>
      <c r="AG24" s="61"/>
      <c r="AH24" s="61"/>
      <c r="AI24" s="61"/>
      <c r="AJ24" s="61"/>
    </row>
    <row r="25" spans="1:37" ht="15.75">
      <c r="I25" s="62" t="s">
        <v>39</v>
      </c>
      <c r="J25" s="62"/>
      <c r="K25" s="64"/>
      <c r="L25" s="62"/>
      <c r="M25" s="15"/>
      <c r="N25" s="15"/>
      <c r="O25" s="15" t="s">
        <v>99</v>
      </c>
      <c r="P25" s="62"/>
      <c r="Q25" s="61"/>
      <c r="R25" s="61"/>
      <c r="S25" s="61"/>
      <c r="T25" s="61"/>
      <c r="U25" s="61"/>
      <c r="V25" s="61"/>
      <c r="W25" s="81"/>
      <c r="X25" s="82"/>
      <c r="Y25" s="82"/>
      <c r="Z25" s="82"/>
      <c r="AA25" s="28"/>
      <c r="AB25" s="129"/>
      <c r="AC25" s="127"/>
      <c r="AD25" s="127"/>
      <c r="AE25" s="61"/>
      <c r="AF25" s="61"/>
      <c r="AG25" s="61"/>
      <c r="AH25" s="61"/>
      <c r="AI25" s="61"/>
      <c r="AJ25" s="61"/>
    </row>
    <row r="26" spans="1:37" hidden="1"/>
    <row r="27" spans="1:37" hidden="1">
      <c r="N27" t="s">
        <v>112</v>
      </c>
      <c r="O27" t="s">
        <v>113</v>
      </c>
      <c r="P27" t="s">
        <v>114</v>
      </c>
      <c r="R27" s="134">
        <v>0.1</v>
      </c>
      <c r="T27" t="s">
        <v>115</v>
      </c>
    </row>
    <row r="28" spans="1:37" hidden="1">
      <c r="J28" t="s">
        <v>108</v>
      </c>
      <c r="K28" s="131">
        <f>B21+M21+AA21+AC21</f>
        <v>106</v>
      </c>
      <c r="L28" s="133">
        <f>G21+N21+AB21+AD21</f>
        <v>3001390</v>
      </c>
      <c r="N28" s="133">
        <f>O21</f>
        <v>202250</v>
      </c>
      <c r="O28" s="133">
        <f>P21</f>
        <v>13460</v>
      </c>
      <c r="P28" s="133">
        <f>H21</f>
        <v>58399</v>
      </c>
      <c r="R28">
        <f>L28*10%</f>
        <v>300139</v>
      </c>
      <c r="T28" s="133">
        <f>L28+N28+O28+P28+R28</f>
        <v>3575638</v>
      </c>
    </row>
    <row r="29" spans="1:37" hidden="1">
      <c r="J29" t="s">
        <v>109</v>
      </c>
      <c r="K29" s="131">
        <f>S21+U21</f>
        <v>1.5</v>
      </c>
      <c r="L29" s="133">
        <f>T21+V21</f>
        <v>45393</v>
      </c>
      <c r="R29">
        <f>L29*10%</f>
        <v>4539.3</v>
      </c>
      <c r="T29" s="133">
        <f>L29+N29+O29+P29+R29</f>
        <v>49932.3</v>
      </c>
    </row>
    <row r="30" spans="1:37" hidden="1">
      <c r="J30" t="s">
        <v>111</v>
      </c>
      <c r="K30" s="131">
        <f>I21+Q21+W21+Y21</f>
        <v>58.300000000000004</v>
      </c>
      <c r="L30" s="133">
        <f>J21+R21+X21+Z21</f>
        <v>1888103.7999999998</v>
      </c>
      <c r="N30" s="133">
        <f>K21</f>
        <v>208179</v>
      </c>
      <c r="O30" s="133">
        <f>L21</f>
        <v>20817</v>
      </c>
      <c r="R30">
        <f>L30*10%</f>
        <v>188810.38</v>
      </c>
      <c r="T30" s="133">
        <f>L30+N30+O30+P30+R30</f>
        <v>2305910.1799999997</v>
      </c>
    </row>
    <row r="31" spans="1:37" hidden="1">
      <c r="J31" t="s">
        <v>110</v>
      </c>
      <c r="K31" s="131">
        <f>AE21</f>
        <v>1</v>
      </c>
      <c r="L31" s="133">
        <f>AF21</f>
        <v>34686</v>
      </c>
      <c r="R31">
        <f>L31*10%</f>
        <v>3468.6000000000004</v>
      </c>
      <c r="T31" s="133">
        <f>L31+N31+O31+P31+R31</f>
        <v>38154.6</v>
      </c>
    </row>
    <row r="32" spans="1:37" hidden="1">
      <c r="L32" s="135">
        <f t="shared" ref="L32:T32" si="15">SUM(L28:L31)</f>
        <v>4969572.8</v>
      </c>
      <c r="M32" s="135">
        <f t="shared" si="15"/>
        <v>0</v>
      </c>
      <c r="N32" s="135">
        <f t="shared" si="15"/>
        <v>410429</v>
      </c>
      <c r="O32" s="135">
        <f t="shared" si="15"/>
        <v>34277</v>
      </c>
      <c r="P32" s="135">
        <f t="shared" si="15"/>
        <v>58399</v>
      </c>
      <c r="Q32" s="135">
        <f t="shared" si="15"/>
        <v>0</v>
      </c>
      <c r="R32" s="135">
        <f t="shared" si="15"/>
        <v>496957.27999999997</v>
      </c>
      <c r="S32" s="135">
        <f t="shared" si="15"/>
        <v>0</v>
      </c>
      <c r="T32" s="135">
        <f t="shared" si="15"/>
        <v>5969635.0799999991</v>
      </c>
    </row>
    <row r="33" hidden="1"/>
    <row r="34" hidden="1"/>
  </sheetData>
  <mergeCells count="4">
    <mergeCell ref="M3:P3"/>
    <mergeCell ref="G7:Q7"/>
    <mergeCell ref="G8:Q8"/>
    <mergeCell ref="G6:R6"/>
  </mergeCells>
  <phoneticPr fontId="32" type="noConversion"/>
  <pageMargins left="0.7" right="0.7" top="0.75" bottom="0.75" header="0.3" footer="0.3"/>
  <pageSetup paperSize="9" scale="80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30"/>
  <sheetViews>
    <sheetView view="pageBreakPreview" topLeftCell="L2" zoomScale="120" zoomScaleNormal="110" zoomScaleSheetLayoutView="120" workbookViewId="0">
      <selection activeCell="T12" sqref="T12"/>
    </sheetView>
  </sheetViews>
  <sheetFormatPr defaultRowHeight="15"/>
  <cols>
    <col min="1" max="1" width="3.42578125" style="143" customWidth="1"/>
    <col min="2" max="2" width="15.5703125" style="143" customWidth="1"/>
    <col min="3" max="3" width="6.140625" style="143" customWidth="1"/>
    <col min="4" max="4" width="7.28515625" style="143" customWidth="1"/>
    <col min="5" max="5" width="6.7109375" style="143" customWidth="1"/>
    <col min="6" max="6" width="7.42578125" style="143" customWidth="1"/>
    <col min="7" max="7" width="6.85546875" style="143" bestFit="1" customWidth="1"/>
    <col min="8" max="8" width="7.28515625" style="143" customWidth="1"/>
    <col min="9" max="9" width="7.140625" style="143" customWidth="1"/>
    <col min="10" max="10" width="6.140625" style="143" customWidth="1"/>
    <col min="11" max="11" width="6.28515625" style="143" customWidth="1"/>
    <col min="12" max="12" width="7.28515625" style="143" customWidth="1"/>
    <col min="13" max="13" width="5.85546875" style="143" customWidth="1"/>
    <col min="14" max="14" width="6.5703125" style="143" customWidth="1"/>
    <col min="15" max="15" width="6.28515625" style="143" customWidth="1"/>
    <col min="16" max="16" width="7.7109375" style="143" customWidth="1"/>
    <col min="17" max="17" width="6.28515625" style="143" customWidth="1"/>
    <col min="18" max="18" width="8" style="143" customWidth="1"/>
    <col min="19" max="19" width="6.85546875" style="143" customWidth="1"/>
    <col min="20" max="20" width="5.5703125" style="143" customWidth="1"/>
    <col min="21" max="21" width="7.42578125" style="143" customWidth="1"/>
    <col min="22" max="22" width="8" style="143" customWidth="1"/>
    <col min="23" max="23" width="7.7109375" style="143" customWidth="1"/>
    <col min="24" max="24" width="6.5703125" style="143" customWidth="1"/>
    <col min="25" max="25" width="7" style="143" customWidth="1"/>
    <col min="26" max="26" width="4.7109375" style="143" customWidth="1"/>
    <col min="27" max="27" width="6.140625" style="143" customWidth="1"/>
    <col min="28" max="28" width="7.42578125" style="143" customWidth="1"/>
    <col min="29" max="29" width="5.28515625" style="143" customWidth="1"/>
    <col min="30" max="30" width="5.5703125" style="143" customWidth="1"/>
    <col min="31" max="31" width="7.140625" style="143" customWidth="1"/>
    <col min="32" max="32" width="4.5703125" style="143" customWidth="1"/>
    <col min="33" max="33" width="5.7109375" style="143" customWidth="1"/>
    <col min="34" max="34" width="6.85546875" style="143" customWidth="1"/>
    <col min="35" max="35" width="4.7109375" style="143" customWidth="1"/>
    <col min="36" max="36" width="5.5703125" style="143" customWidth="1"/>
    <col min="37" max="37" width="7" style="143" customWidth="1"/>
    <col min="38" max="38" width="4.85546875" style="143" customWidth="1"/>
    <col min="39" max="39" width="5.5703125" style="143" customWidth="1"/>
    <col min="40" max="40" width="7.28515625" style="143" customWidth="1"/>
    <col min="41" max="41" width="5.28515625" style="143" customWidth="1"/>
    <col min="42" max="42" width="5.85546875" style="143" customWidth="1"/>
    <col min="43" max="16384" width="9.140625" style="143"/>
  </cols>
  <sheetData>
    <row r="1" spans="1:42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 t="s">
        <v>0</v>
      </c>
      <c r="M1" s="1"/>
      <c r="N1" s="1"/>
      <c r="O1" s="1"/>
      <c r="P1" s="141"/>
      <c r="Q1" s="141"/>
      <c r="R1" s="141"/>
      <c r="S1" s="141"/>
      <c r="T1" s="141"/>
      <c r="U1" s="141"/>
      <c r="V1" s="141"/>
      <c r="W1" s="141"/>
    </row>
    <row r="2" spans="1:42">
      <c r="A2" s="141"/>
      <c r="B2" s="141"/>
      <c r="C2" s="144"/>
      <c r="D2" s="144"/>
      <c r="E2" s="144"/>
      <c r="F2" s="144"/>
      <c r="G2" s="144"/>
      <c r="H2" s="144"/>
      <c r="I2" s="144"/>
      <c r="J2" s="144"/>
      <c r="K2" s="141"/>
      <c r="L2" s="2" t="s">
        <v>116</v>
      </c>
      <c r="M2" s="2"/>
      <c r="N2" s="2"/>
      <c r="O2" s="2"/>
      <c r="P2" s="2"/>
      <c r="Q2" s="2"/>
      <c r="R2" s="2"/>
      <c r="S2" s="2"/>
      <c r="T2" s="141"/>
      <c r="U2" s="141"/>
      <c r="V2" s="141"/>
      <c r="W2" s="141"/>
    </row>
    <row r="3" spans="1:42">
      <c r="A3" s="141"/>
      <c r="B3" s="141"/>
      <c r="C3" s="144"/>
      <c r="D3" s="144"/>
      <c r="E3" s="144"/>
      <c r="F3" s="144"/>
      <c r="G3" s="144"/>
      <c r="H3" s="144"/>
      <c r="I3" s="144"/>
      <c r="J3" s="144"/>
      <c r="K3" s="141"/>
      <c r="L3" s="2" t="s">
        <v>148</v>
      </c>
      <c r="M3" s="2"/>
      <c r="N3" s="2"/>
      <c r="O3" s="2"/>
      <c r="P3" s="2"/>
      <c r="Q3" s="2"/>
      <c r="R3" s="2"/>
      <c r="S3" s="2"/>
      <c r="T3" s="141"/>
      <c r="U3" s="141"/>
      <c r="V3" s="141"/>
      <c r="W3" s="141"/>
    </row>
    <row r="4" spans="1:42" ht="15.75">
      <c r="A4" s="3"/>
      <c r="B4" s="145"/>
      <c r="C4" s="146"/>
      <c r="D4" s="62"/>
      <c r="E4" s="147"/>
      <c r="F4" s="148"/>
      <c r="G4" s="148"/>
      <c r="H4" s="148"/>
      <c r="I4" s="148"/>
      <c r="J4" s="148"/>
      <c r="K4" s="7"/>
      <c r="L4" s="2" t="s">
        <v>98</v>
      </c>
      <c r="M4" s="2"/>
      <c r="N4" s="2"/>
      <c r="O4" s="2"/>
      <c r="P4" s="2"/>
      <c r="Q4" s="2"/>
      <c r="R4" s="2"/>
      <c r="S4" s="2"/>
      <c r="T4" s="2"/>
      <c r="U4" s="2"/>
      <c r="V4" s="7"/>
      <c r="W4" s="141"/>
    </row>
    <row r="5" spans="1:42" ht="15.75">
      <c r="A5" s="3"/>
      <c r="B5" s="145"/>
      <c r="C5" s="146"/>
      <c r="D5" s="62"/>
      <c r="E5" s="147"/>
      <c r="F5" s="148"/>
      <c r="G5" s="148"/>
      <c r="H5" s="148"/>
      <c r="I5" s="148"/>
      <c r="J5" s="148"/>
      <c r="K5" s="7"/>
      <c r="L5" s="2" t="s">
        <v>1</v>
      </c>
      <c r="M5" s="2"/>
      <c r="N5" s="2"/>
      <c r="O5" s="2"/>
      <c r="P5" s="2"/>
      <c r="Q5" s="2"/>
      <c r="R5" s="2"/>
      <c r="S5" s="2"/>
      <c r="T5" s="149"/>
      <c r="U5" s="7"/>
      <c r="V5" s="7"/>
      <c r="W5" s="141"/>
    </row>
    <row r="6" spans="1:42" ht="18.75">
      <c r="A6" s="3"/>
      <c r="B6" s="145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12"/>
      <c r="R6" s="150"/>
      <c r="S6" s="150"/>
      <c r="T6" s="150"/>
      <c r="U6" s="151"/>
      <c r="V6" s="7"/>
      <c r="W6" s="141"/>
    </row>
    <row r="7" spans="1:42" ht="18.75">
      <c r="A7" s="3"/>
      <c r="B7" s="145"/>
      <c r="C7" s="264" t="s">
        <v>147</v>
      </c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13"/>
      <c r="R7" s="150"/>
      <c r="S7" s="150"/>
      <c r="T7" s="150"/>
      <c r="U7" s="151"/>
      <c r="V7" s="7"/>
      <c r="W7" s="141"/>
    </row>
    <row r="8" spans="1:42" ht="15.75">
      <c r="A8" s="3"/>
      <c r="B8" s="152"/>
      <c r="C8" s="153"/>
      <c r="D8" s="3"/>
      <c r="E8" s="66"/>
      <c r="F8" s="3"/>
      <c r="G8" s="3"/>
      <c r="H8" s="154"/>
      <c r="I8" s="154"/>
      <c r="J8" s="154"/>
      <c r="K8" s="154"/>
      <c r="L8" s="154"/>
      <c r="M8" s="7"/>
      <c r="N8" s="7" t="s">
        <v>2</v>
      </c>
      <c r="O8" s="7"/>
      <c r="P8" s="7"/>
      <c r="Q8" s="7"/>
      <c r="R8" s="7"/>
      <c r="S8" s="7"/>
      <c r="T8" s="7"/>
      <c r="U8" s="151"/>
      <c r="V8" s="7"/>
      <c r="W8" s="141"/>
    </row>
    <row r="9" spans="1:42" ht="15.75">
      <c r="A9" s="3"/>
      <c r="B9" s="152"/>
      <c r="C9" s="153"/>
      <c r="D9" s="3"/>
      <c r="E9" s="66"/>
      <c r="F9" s="3"/>
      <c r="G9" s="3"/>
      <c r="H9" s="3"/>
      <c r="I9" s="3"/>
      <c r="J9" s="3"/>
      <c r="K9" s="7"/>
      <c r="L9" s="7"/>
      <c r="M9" s="7"/>
      <c r="N9" s="7"/>
      <c r="O9" s="7"/>
      <c r="P9" s="7"/>
      <c r="Q9" s="7"/>
      <c r="R9" s="7"/>
      <c r="S9" s="7"/>
      <c r="T9" s="7"/>
      <c r="U9" s="151"/>
      <c r="V9" s="7"/>
      <c r="W9" s="141"/>
    </row>
    <row r="10" spans="1:42" ht="15.75">
      <c r="A10" s="3"/>
      <c r="B10" s="152"/>
      <c r="C10" s="153"/>
      <c r="D10" s="3"/>
      <c r="E10" s="66"/>
      <c r="F10" s="3"/>
      <c r="G10" s="3"/>
      <c r="H10" s="3"/>
      <c r="I10" s="3"/>
      <c r="J10" s="3"/>
      <c r="K10" s="7"/>
      <c r="L10" s="7"/>
      <c r="M10" s="7"/>
      <c r="N10" s="7"/>
      <c r="O10" s="7"/>
      <c r="P10" s="7"/>
      <c r="Q10" s="7"/>
      <c r="R10" s="7"/>
      <c r="S10" s="7"/>
      <c r="T10" s="7"/>
      <c r="U10" s="151"/>
      <c r="V10" s="7"/>
      <c r="W10" s="141"/>
      <c r="X10" s="143">
        <v>9</v>
      </c>
    </row>
    <row r="11" spans="1:42" ht="15" customHeight="1">
      <c r="A11" s="155" t="s">
        <v>3</v>
      </c>
      <c r="B11" s="274" t="s">
        <v>4</v>
      </c>
      <c r="C11" s="275" t="s">
        <v>5</v>
      </c>
      <c r="D11" s="275"/>
      <c r="E11" s="276" t="s">
        <v>6</v>
      </c>
      <c r="F11" s="276"/>
      <c r="G11" s="275" t="s">
        <v>7</v>
      </c>
      <c r="H11" s="277"/>
      <c r="I11" s="278" t="s">
        <v>8</v>
      </c>
      <c r="J11" s="266" t="s">
        <v>9</v>
      </c>
      <c r="K11" s="267"/>
      <c r="L11" s="267"/>
      <c r="M11" s="270" t="s">
        <v>10</v>
      </c>
      <c r="N11" s="271"/>
      <c r="O11" s="271"/>
      <c r="P11" s="257" t="s">
        <v>11</v>
      </c>
      <c r="Q11" s="257" t="s">
        <v>129</v>
      </c>
      <c r="R11" s="156"/>
      <c r="S11" s="156"/>
      <c r="T11" s="156"/>
      <c r="U11" s="257" t="s">
        <v>12</v>
      </c>
      <c r="V11" s="257" t="s">
        <v>13</v>
      </c>
      <c r="W11" s="260" t="s">
        <v>14</v>
      </c>
      <c r="Y11" s="279" t="s">
        <v>130</v>
      </c>
      <c r="Z11" s="280"/>
      <c r="AA11" s="281"/>
      <c r="AB11" s="279" t="s">
        <v>131</v>
      </c>
      <c r="AC11" s="280"/>
      <c r="AD11" s="281"/>
      <c r="AE11" s="279" t="s">
        <v>132</v>
      </c>
      <c r="AF11" s="280"/>
      <c r="AG11" s="281"/>
      <c r="AH11" s="279" t="s">
        <v>133</v>
      </c>
      <c r="AI11" s="280"/>
      <c r="AJ11" s="281"/>
      <c r="AK11" s="279" t="s">
        <v>138</v>
      </c>
      <c r="AL11" s="280"/>
      <c r="AM11" s="281"/>
      <c r="AN11" s="279" t="s">
        <v>134</v>
      </c>
      <c r="AO11" s="280"/>
      <c r="AP11" s="281"/>
    </row>
    <row r="12" spans="1:42" ht="15" customHeight="1">
      <c r="A12" s="157" t="s">
        <v>15</v>
      </c>
      <c r="B12" s="261"/>
      <c r="C12" s="155" t="s">
        <v>16</v>
      </c>
      <c r="D12" s="155" t="s">
        <v>17</v>
      </c>
      <c r="E12" s="158" t="s">
        <v>16</v>
      </c>
      <c r="F12" s="155" t="s">
        <v>17</v>
      </c>
      <c r="G12" s="155" t="s">
        <v>16</v>
      </c>
      <c r="H12" s="159" t="s">
        <v>17</v>
      </c>
      <c r="I12" s="258"/>
      <c r="J12" s="268"/>
      <c r="K12" s="269"/>
      <c r="L12" s="269"/>
      <c r="M12" s="272"/>
      <c r="N12" s="273"/>
      <c r="O12" s="273"/>
      <c r="P12" s="258"/>
      <c r="Q12" s="258"/>
      <c r="R12" s="261" t="s">
        <v>18</v>
      </c>
      <c r="S12" s="160">
        <v>0.1</v>
      </c>
      <c r="T12" s="161"/>
      <c r="U12" s="258"/>
      <c r="V12" s="258"/>
      <c r="W12" s="260"/>
      <c r="Y12" s="285"/>
      <c r="Z12" s="286"/>
      <c r="AA12" s="287"/>
      <c r="AB12" s="285"/>
      <c r="AC12" s="286"/>
      <c r="AD12" s="287"/>
      <c r="AE12" s="282"/>
      <c r="AF12" s="283"/>
      <c r="AG12" s="284"/>
      <c r="AH12" s="285"/>
      <c r="AI12" s="286"/>
      <c r="AJ12" s="287"/>
      <c r="AK12" s="285"/>
      <c r="AL12" s="286"/>
      <c r="AM12" s="287"/>
      <c r="AN12" s="282"/>
      <c r="AO12" s="283"/>
      <c r="AP12" s="284"/>
    </row>
    <row r="13" spans="1:42" ht="21.75">
      <c r="A13" s="162"/>
      <c r="B13" s="262"/>
      <c r="C13" s="162" t="s">
        <v>19</v>
      </c>
      <c r="D13" s="162" t="s">
        <v>20</v>
      </c>
      <c r="E13" s="163" t="s">
        <v>19</v>
      </c>
      <c r="F13" s="162" t="s">
        <v>20</v>
      </c>
      <c r="G13" s="162" t="s">
        <v>19</v>
      </c>
      <c r="H13" s="162" t="s">
        <v>20</v>
      </c>
      <c r="I13" s="259"/>
      <c r="J13" s="164" t="s">
        <v>21</v>
      </c>
      <c r="K13" s="165" t="s">
        <v>22</v>
      </c>
      <c r="L13" s="165" t="s">
        <v>23</v>
      </c>
      <c r="M13" s="164" t="s">
        <v>21</v>
      </c>
      <c r="N13" s="165" t="s">
        <v>22</v>
      </c>
      <c r="O13" s="166" t="s">
        <v>23</v>
      </c>
      <c r="P13" s="259"/>
      <c r="Q13" s="259"/>
      <c r="R13" s="262"/>
      <c r="S13" s="167" t="s">
        <v>24</v>
      </c>
      <c r="T13" s="167" t="s">
        <v>25</v>
      </c>
      <c r="U13" s="259"/>
      <c r="V13" s="259"/>
      <c r="W13" s="260"/>
      <c r="Y13" s="219" t="s">
        <v>135</v>
      </c>
      <c r="Z13" s="219" t="s">
        <v>137</v>
      </c>
      <c r="AA13" s="219" t="s">
        <v>136</v>
      </c>
      <c r="AB13" s="219" t="s">
        <v>135</v>
      </c>
      <c r="AC13" s="219" t="s">
        <v>137</v>
      </c>
      <c r="AD13" s="219" t="s">
        <v>136</v>
      </c>
      <c r="AE13" s="219" t="s">
        <v>135</v>
      </c>
      <c r="AF13" s="219" t="s">
        <v>137</v>
      </c>
      <c r="AG13" s="219" t="s">
        <v>136</v>
      </c>
      <c r="AH13" s="219" t="s">
        <v>135</v>
      </c>
      <c r="AI13" s="219" t="s">
        <v>137</v>
      </c>
      <c r="AJ13" s="219" t="s">
        <v>136</v>
      </c>
      <c r="AK13" s="219" t="s">
        <v>135</v>
      </c>
      <c r="AL13" s="219" t="s">
        <v>137</v>
      </c>
      <c r="AM13" s="219" t="s">
        <v>136</v>
      </c>
      <c r="AN13" s="219" t="s">
        <v>135</v>
      </c>
      <c r="AO13" s="219" t="s">
        <v>137</v>
      </c>
      <c r="AP13" s="219" t="s">
        <v>136</v>
      </c>
    </row>
    <row r="14" spans="1:42" s="141" customFormat="1" ht="15" customHeight="1">
      <c r="A14" s="168">
        <v>1</v>
      </c>
      <c r="B14" s="168" t="s">
        <v>26</v>
      </c>
      <c r="C14" s="169">
        <v>107</v>
      </c>
      <c r="D14" s="169">
        <v>446731</v>
      </c>
      <c r="E14" s="170">
        <v>180</v>
      </c>
      <c r="F14" s="169">
        <v>823235</v>
      </c>
      <c r="G14" s="171">
        <v>79</v>
      </c>
      <c r="H14" s="171">
        <v>369926</v>
      </c>
      <c r="I14" s="172">
        <f>(D14+F14+H14)*25%</f>
        <v>409973</v>
      </c>
      <c r="J14" s="169">
        <v>8160</v>
      </c>
      <c r="K14" s="171">
        <v>14944</v>
      </c>
      <c r="L14" s="171">
        <v>4621</v>
      </c>
      <c r="M14" s="171">
        <v>8848</v>
      </c>
      <c r="N14" s="171">
        <v>13275</v>
      </c>
      <c r="O14" s="171">
        <v>5310</v>
      </c>
      <c r="P14" s="171">
        <v>24773</v>
      </c>
      <c r="Q14" s="171">
        <v>65282</v>
      </c>
      <c r="R14" s="171">
        <v>0</v>
      </c>
      <c r="S14" s="172">
        <f>(D14+F14+H14+I14)*0.1</f>
        <v>204986.5</v>
      </c>
      <c r="T14" s="172">
        <v>3539.4</v>
      </c>
      <c r="U14" s="173">
        <f>(C14+E14+G14)/18</f>
        <v>20.333333333333332</v>
      </c>
      <c r="V14" s="172">
        <f t="shared" ref="V14:V22" si="0">T14+P14+O14+N14+M14+L14+K14+J14+I14+H14+F14+D14+S14+R14+Q14</f>
        <v>2403603.9</v>
      </c>
      <c r="W14" s="174">
        <f>(V14*12)/1000</f>
        <v>28843.246799999997</v>
      </c>
      <c r="X14" s="218"/>
      <c r="Y14" s="223">
        <f>1/18*Z14</f>
        <v>18.055555555555554</v>
      </c>
      <c r="Z14" s="222">
        <v>325</v>
      </c>
      <c r="AA14" s="222">
        <v>541886</v>
      </c>
      <c r="AB14" s="223">
        <f>1/18*AC14</f>
        <v>7.5555555555555554</v>
      </c>
      <c r="AC14" s="222">
        <v>136</v>
      </c>
      <c r="AD14" s="222">
        <v>193440</v>
      </c>
      <c r="AE14" s="223">
        <f>1/18*AF14</f>
        <v>2.9444444444444442</v>
      </c>
      <c r="AF14" s="222">
        <v>53</v>
      </c>
      <c r="AG14" s="222">
        <v>88601</v>
      </c>
      <c r="AH14" s="223">
        <f>1/18*AI14</f>
        <v>1.3888888888888888</v>
      </c>
      <c r="AI14" s="222">
        <v>25</v>
      </c>
      <c r="AJ14" s="222">
        <v>52304</v>
      </c>
      <c r="AK14" s="223">
        <f>1/18*AL14</f>
        <v>0</v>
      </c>
      <c r="AL14" s="222"/>
      <c r="AM14" s="222"/>
      <c r="AN14" s="222"/>
      <c r="AO14" s="222"/>
      <c r="AP14" s="253"/>
    </row>
    <row r="15" spans="1:42" s="141" customFormat="1">
      <c r="A15" s="168">
        <v>2</v>
      </c>
      <c r="B15" s="168" t="s">
        <v>27</v>
      </c>
      <c r="C15" s="169">
        <v>136</v>
      </c>
      <c r="D15" s="169">
        <v>680027</v>
      </c>
      <c r="E15" s="170">
        <v>192</v>
      </c>
      <c r="F15" s="169">
        <v>882127</v>
      </c>
      <c r="G15" s="169">
        <v>79</v>
      </c>
      <c r="H15" s="169">
        <v>367852</v>
      </c>
      <c r="I15" s="172">
        <f t="shared" ref="I15:I23" si="1">(D15+F15+H15)*25%</f>
        <v>482501.5</v>
      </c>
      <c r="J15" s="169">
        <v>19565</v>
      </c>
      <c r="K15" s="171">
        <v>14256</v>
      </c>
      <c r="L15" s="171">
        <v>3441</v>
      </c>
      <c r="M15" s="171">
        <v>19908</v>
      </c>
      <c r="N15" s="171">
        <v>15929</v>
      </c>
      <c r="O15" s="171">
        <v>5310</v>
      </c>
      <c r="P15" s="171">
        <v>24773</v>
      </c>
      <c r="Q15" s="171">
        <v>81799</v>
      </c>
      <c r="R15" s="171">
        <v>49852</v>
      </c>
      <c r="S15" s="172">
        <f t="shared" ref="S15:S23" si="2">(D15+F15+H15+I15)*0.1</f>
        <v>241250.75</v>
      </c>
      <c r="T15" s="172">
        <v>3539</v>
      </c>
      <c r="U15" s="173">
        <f t="shared" ref="U15:U23" si="3">(C15+E15+G15)/18</f>
        <v>22.611111111111111</v>
      </c>
      <c r="V15" s="172">
        <f t="shared" si="0"/>
        <v>2892130.25</v>
      </c>
      <c r="W15" s="174">
        <f t="shared" ref="W15:W23" si="4">(V15*12)/1000</f>
        <v>34705.563000000002</v>
      </c>
      <c r="Y15" s="223">
        <f t="shared" ref="Y15:Y23" si="5">1/18*Z15</f>
        <v>20.388888888888889</v>
      </c>
      <c r="Z15" s="222">
        <v>367</v>
      </c>
      <c r="AA15" s="222">
        <v>668025</v>
      </c>
      <c r="AB15" s="223">
        <f t="shared" ref="AB15:AB23" si="6">1/18*AC15</f>
        <v>3.6111111111111107</v>
      </c>
      <c r="AC15" s="222">
        <v>65</v>
      </c>
      <c r="AD15" s="222">
        <v>94903</v>
      </c>
      <c r="AE15" s="223">
        <f t="shared" ref="AE15:AE23" si="7">1/18*AF15</f>
        <v>3.7777777777777777</v>
      </c>
      <c r="AF15" s="222">
        <v>68</v>
      </c>
      <c r="AG15" s="222">
        <v>119154</v>
      </c>
      <c r="AH15" s="223">
        <f t="shared" ref="AH15:AH23" si="8">1/18*AI15</f>
        <v>1.8333333333333333</v>
      </c>
      <c r="AI15" s="222">
        <v>33</v>
      </c>
      <c r="AJ15" s="222">
        <v>70210</v>
      </c>
      <c r="AK15" s="223">
        <f t="shared" ref="AK15:AK24" si="9">1/18*AL15</f>
        <v>0</v>
      </c>
      <c r="AL15" s="222"/>
      <c r="AM15" s="222"/>
      <c r="AN15" s="222"/>
      <c r="AO15" s="222"/>
      <c r="AP15" s="253"/>
    </row>
    <row r="16" spans="1:42" s="141" customFormat="1">
      <c r="A16" s="168">
        <v>3</v>
      </c>
      <c r="B16" s="168" t="s">
        <v>28</v>
      </c>
      <c r="C16" s="169">
        <v>107</v>
      </c>
      <c r="D16" s="169">
        <v>503430</v>
      </c>
      <c r="E16" s="170">
        <v>180</v>
      </c>
      <c r="F16" s="169">
        <v>869375</v>
      </c>
      <c r="G16" s="169">
        <v>155</v>
      </c>
      <c r="H16" s="169">
        <v>682947</v>
      </c>
      <c r="I16" s="172">
        <f t="shared" si="1"/>
        <v>513938</v>
      </c>
      <c r="J16" s="169">
        <v>8455</v>
      </c>
      <c r="K16" s="171">
        <v>8849</v>
      </c>
      <c r="L16" s="171">
        <v>6096</v>
      </c>
      <c r="M16" s="171">
        <v>8848</v>
      </c>
      <c r="N16" s="171">
        <v>15930</v>
      </c>
      <c r="O16" s="171">
        <v>7965</v>
      </c>
      <c r="P16" s="171">
        <v>24773</v>
      </c>
      <c r="Q16" s="171">
        <v>16910</v>
      </c>
      <c r="R16" s="171">
        <v>122475</v>
      </c>
      <c r="S16" s="172">
        <f t="shared" si="2"/>
        <v>256969</v>
      </c>
      <c r="T16" s="172">
        <v>3539</v>
      </c>
      <c r="U16" s="173">
        <f t="shared" si="3"/>
        <v>24.555555555555557</v>
      </c>
      <c r="V16" s="172">
        <f>T16+P16+O16+N16+M16+L16+K16+J16+I16+H16+F16+D16+S16+R16+Q16</f>
        <v>3050499</v>
      </c>
      <c r="W16" s="174">
        <f>(V16*12)/1000</f>
        <v>36605.987999999998</v>
      </c>
      <c r="Y16" s="223">
        <f t="shared" si="5"/>
        <v>21</v>
      </c>
      <c r="Z16" s="222">
        <v>378</v>
      </c>
      <c r="AA16" s="222">
        <v>665846</v>
      </c>
      <c r="AB16" s="223">
        <f t="shared" si="6"/>
        <v>4.333333333333333</v>
      </c>
      <c r="AC16" s="222">
        <v>78</v>
      </c>
      <c r="AD16" s="222">
        <v>111509</v>
      </c>
      <c r="AE16" s="223">
        <f t="shared" si="7"/>
        <v>5.333333333333333</v>
      </c>
      <c r="AF16" s="222">
        <v>96</v>
      </c>
      <c r="AG16" s="222">
        <v>167285</v>
      </c>
      <c r="AH16" s="223">
        <f t="shared" si="8"/>
        <v>0</v>
      </c>
      <c r="AI16" s="222"/>
      <c r="AJ16" s="222"/>
      <c r="AK16" s="223">
        <f t="shared" si="9"/>
        <v>1</v>
      </c>
      <c r="AL16" s="222">
        <v>18</v>
      </c>
      <c r="AM16" s="222">
        <v>35394</v>
      </c>
      <c r="AN16" s="222"/>
      <c r="AO16" s="222"/>
      <c r="AP16" s="253"/>
    </row>
    <row r="17" spans="1:42" s="141" customFormat="1" ht="15" customHeight="1">
      <c r="A17" s="168">
        <v>4</v>
      </c>
      <c r="B17" s="168" t="s">
        <v>29</v>
      </c>
      <c r="C17" s="169">
        <v>309</v>
      </c>
      <c r="D17" s="169">
        <v>1414188</v>
      </c>
      <c r="E17" s="170">
        <v>438</v>
      </c>
      <c r="F17" s="169">
        <v>2070673</v>
      </c>
      <c r="G17" s="169">
        <v>215</v>
      </c>
      <c r="H17" s="169">
        <v>1034525</v>
      </c>
      <c r="I17" s="172">
        <f t="shared" si="1"/>
        <v>1129846.5</v>
      </c>
      <c r="J17" s="169">
        <v>38344</v>
      </c>
      <c r="K17" s="171">
        <v>50018</v>
      </c>
      <c r="L17" s="171">
        <v>18680</v>
      </c>
      <c r="M17" s="171">
        <v>53090</v>
      </c>
      <c r="N17" s="171">
        <v>53090</v>
      </c>
      <c r="O17" s="171">
        <v>29545</v>
      </c>
      <c r="P17" s="171">
        <v>49546</v>
      </c>
      <c r="Q17" s="171">
        <v>103429</v>
      </c>
      <c r="R17" s="171">
        <v>180262</v>
      </c>
      <c r="S17" s="172">
        <f t="shared" si="2"/>
        <v>564923.25</v>
      </c>
      <c r="T17" s="172">
        <v>3539.4</v>
      </c>
      <c r="U17" s="173">
        <f t="shared" si="3"/>
        <v>53.444444444444443</v>
      </c>
      <c r="V17" s="172">
        <f t="shared" si="0"/>
        <v>6793699.1500000004</v>
      </c>
      <c r="W17" s="174">
        <f>(V17*12)/1000</f>
        <v>81524.389800000019</v>
      </c>
      <c r="Y17" s="223">
        <f t="shared" si="5"/>
        <v>46.833333333333329</v>
      </c>
      <c r="Z17" s="222">
        <v>843</v>
      </c>
      <c r="AA17" s="222">
        <v>1481378</v>
      </c>
      <c r="AB17" s="223">
        <f t="shared" si="6"/>
        <v>7</v>
      </c>
      <c r="AC17" s="222">
        <v>126</v>
      </c>
      <c r="AD17" s="222">
        <v>173988</v>
      </c>
      <c r="AE17" s="223">
        <f t="shared" si="7"/>
        <v>8.8333333333333321</v>
      </c>
      <c r="AF17" s="222">
        <v>159</v>
      </c>
      <c r="AG17" s="222">
        <v>271852</v>
      </c>
      <c r="AH17" s="223">
        <f t="shared" si="8"/>
        <v>3.7222222222222219</v>
      </c>
      <c r="AI17" s="222">
        <v>67</v>
      </c>
      <c r="AJ17" s="222">
        <v>109163</v>
      </c>
      <c r="AK17" s="223">
        <f t="shared" si="9"/>
        <v>0</v>
      </c>
      <c r="AL17" s="222"/>
      <c r="AM17" s="222"/>
      <c r="AN17" s="222"/>
      <c r="AO17" s="222"/>
      <c r="AP17" s="253"/>
    </row>
    <row r="18" spans="1:42" s="141" customFormat="1">
      <c r="A18" s="168">
        <v>5</v>
      </c>
      <c r="B18" s="168" t="s">
        <v>30</v>
      </c>
      <c r="C18" s="169">
        <v>107</v>
      </c>
      <c r="D18" s="172">
        <v>486235</v>
      </c>
      <c r="E18" s="170">
        <v>179</v>
      </c>
      <c r="F18" s="169">
        <v>796336</v>
      </c>
      <c r="G18" s="169">
        <v>0</v>
      </c>
      <c r="H18" s="169">
        <v>0</v>
      </c>
      <c r="I18" s="172">
        <f t="shared" si="1"/>
        <v>320642.75</v>
      </c>
      <c r="J18" s="169">
        <v>7251</v>
      </c>
      <c r="K18" s="171">
        <v>11159</v>
      </c>
      <c r="L18" s="171">
        <v>0</v>
      </c>
      <c r="M18" s="171">
        <v>8848</v>
      </c>
      <c r="N18" s="171">
        <v>13275</v>
      </c>
      <c r="O18" s="171">
        <v>0</v>
      </c>
      <c r="P18" s="171">
        <v>24773</v>
      </c>
      <c r="Q18" s="171">
        <v>0</v>
      </c>
      <c r="R18" s="171">
        <v>0</v>
      </c>
      <c r="S18" s="172">
        <f t="shared" si="2"/>
        <v>160321.375</v>
      </c>
      <c r="T18" s="172">
        <v>3539.4</v>
      </c>
      <c r="U18" s="173">
        <f t="shared" si="3"/>
        <v>15.888888888888889</v>
      </c>
      <c r="V18" s="172">
        <f t="shared" si="0"/>
        <v>1832380.5249999999</v>
      </c>
      <c r="W18" s="174">
        <f t="shared" si="4"/>
        <v>21988.566299999999</v>
      </c>
      <c r="Y18" s="223">
        <f t="shared" si="5"/>
        <v>15.888888888888888</v>
      </c>
      <c r="Z18" s="222">
        <v>286</v>
      </c>
      <c r="AA18" s="222">
        <v>480964</v>
      </c>
      <c r="AB18" s="223">
        <f t="shared" si="6"/>
        <v>2.5555555555555554</v>
      </c>
      <c r="AC18" s="222">
        <v>46</v>
      </c>
      <c r="AD18" s="222">
        <v>61308</v>
      </c>
      <c r="AE18" s="223">
        <f t="shared" si="7"/>
        <v>0</v>
      </c>
      <c r="AF18" s="222"/>
      <c r="AG18" s="222"/>
      <c r="AH18" s="223">
        <f t="shared" si="8"/>
        <v>0</v>
      </c>
      <c r="AI18" s="222"/>
      <c r="AJ18" s="222"/>
      <c r="AK18" s="223">
        <f t="shared" si="9"/>
        <v>0</v>
      </c>
      <c r="AL18" s="222"/>
      <c r="AM18" s="222"/>
      <c r="AN18" s="222"/>
      <c r="AO18" s="222"/>
      <c r="AP18" s="253"/>
    </row>
    <row r="19" spans="1:42" s="141" customFormat="1">
      <c r="A19" s="168">
        <v>6</v>
      </c>
      <c r="B19" s="168" t="s">
        <v>31</v>
      </c>
      <c r="C19" s="169">
        <v>107</v>
      </c>
      <c r="D19" s="169">
        <v>521108</v>
      </c>
      <c r="E19" s="170">
        <v>141</v>
      </c>
      <c r="F19" s="172">
        <v>647022</v>
      </c>
      <c r="G19" s="169">
        <v>79</v>
      </c>
      <c r="H19" s="169">
        <v>337010</v>
      </c>
      <c r="I19" s="172">
        <f t="shared" si="1"/>
        <v>376285</v>
      </c>
      <c r="J19" s="169">
        <v>7620</v>
      </c>
      <c r="K19" s="171">
        <v>6587</v>
      </c>
      <c r="L19" s="171">
        <v>2089</v>
      </c>
      <c r="M19" s="171">
        <v>8848</v>
      </c>
      <c r="N19" s="171">
        <v>10620</v>
      </c>
      <c r="O19" s="171">
        <v>5310</v>
      </c>
      <c r="P19" s="171">
        <v>24773</v>
      </c>
      <c r="Q19" s="171">
        <v>36967</v>
      </c>
      <c r="R19" s="171">
        <v>28722</v>
      </c>
      <c r="S19" s="172">
        <f t="shared" si="2"/>
        <v>188142.5</v>
      </c>
      <c r="T19" s="172">
        <v>3540</v>
      </c>
      <c r="U19" s="173">
        <f t="shared" si="3"/>
        <v>18.166666666666668</v>
      </c>
      <c r="V19" s="172">
        <f t="shared" si="0"/>
        <v>2204643.5</v>
      </c>
      <c r="W19" s="174">
        <f t="shared" si="4"/>
        <v>26455.722000000002</v>
      </c>
      <c r="Y19" s="223">
        <f t="shared" si="5"/>
        <v>16</v>
      </c>
      <c r="Z19" s="222">
        <v>288</v>
      </c>
      <c r="AA19" s="222">
        <v>510009</v>
      </c>
      <c r="AB19" s="223">
        <f t="shared" si="6"/>
        <v>4.1666666666666661</v>
      </c>
      <c r="AC19" s="222">
        <v>75</v>
      </c>
      <c r="AD19" s="222">
        <v>105247</v>
      </c>
      <c r="AE19" s="223">
        <f t="shared" si="7"/>
        <v>6.7222222222222214</v>
      </c>
      <c r="AF19" s="222">
        <v>121</v>
      </c>
      <c r="AG19" s="222">
        <v>204645</v>
      </c>
      <c r="AH19" s="223">
        <f t="shared" si="8"/>
        <v>0.5</v>
      </c>
      <c r="AI19" s="222">
        <v>9</v>
      </c>
      <c r="AJ19" s="222">
        <v>19148</v>
      </c>
      <c r="AK19" s="223">
        <f t="shared" si="9"/>
        <v>0</v>
      </c>
      <c r="AL19" s="222"/>
      <c r="AM19" s="222"/>
      <c r="AN19" s="222"/>
      <c r="AO19" s="222"/>
      <c r="AP19" s="253"/>
    </row>
    <row r="20" spans="1:42" s="141" customFormat="1" ht="15" customHeight="1">
      <c r="A20" s="168">
        <v>7</v>
      </c>
      <c r="B20" s="168" t="s">
        <v>32</v>
      </c>
      <c r="C20" s="169">
        <v>189</v>
      </c>
      <c r="D20" s="169">
        <v>838307</v>
      </c>
      <c r="E20" s="170">
        <v>251</v>
      </c>
      <c r="F20" s="169">
        <v>1131202</v>
      </c>
      <c r="G20" s="169">
        <v>120</v>
      </c>
      <c r="H20" s="169">
        <v>550062</v>
      </c>
      <c r="I20" s="172">
        <f t="shared" si="1"/>
        <v>629892.75</v>
      </c>
      <c r="J20" s="169">
        <v>13764</v>
      </c>
      <c r="K20" s="171">
        <v>12585</v>
      </c>
      <c r="L20" s="171">
        <v>6096</v>
      </c>
      <c r="M20" s="171">
        <v>15484</v>
      </c>
      <c r="N20" s="171">
        <v>15930</v>
      </c>
      <c r="O20" s="171">
        <v>7965</v>
      </c>
      <c r="P20" s="171">
        <v>24773</v>
      </c>
      <c r="Q20" s="171">
        <v>0</v>
      </c>
      <c r="R20" s="171">
        <v>187697</v>
      </c>
      <c r="S20" s="172">
        <f t="shared" si="2"/>
        <v>314946.375</v>
      </c>
      <c r="T20" s="172">
        <v>3540</v>
      </c>
      <c r="U20" s="173">
        <f t="shared" si="3"/>
        <v>31.111111111111111</v>
      </c>
      <c r="V20" s="172">
        <f t="shared" si="0"/>
        <v>3752244.125</v>
      </c>
      <c r="W20" s="174">
        <f t="shared" si="4"/>
        <v>45026.929499999998</v>
      </c>
      <c r="Y20" s="223">
        <f t="shared" si="5"/>
        <v>26.944444444444443</v>
      </c>
      <c r="Z20" s="222">
        <v>485</v>
      </c>
      <c r="AA20" s="222">
        <v>817214</v>
      </c>
      <c r="AB20" s="223">
        <f t="shared" si="6"/>
        <v>3.8888888888888888</v>
      </c>
      <c r="AC20" s="222">
        <v>70</v>
      </c>
      <c r="AD20" s="222">
        <v>93464</v>
      </c>
      <c r="AE20" s="223">
        <f t="shared" si="7"/>
        <v>8.5555555555555554</v>
      </c>
      <c r="AF20" s="222">
        <v>154</v>
      </c>
      <c r="AG20" s="222">
        <v>253862</v>
      </c>
      <c r="AH20" s="223">
        <f t="shared" si="8"/>
        <v>0.5</v>
      </c>
      <c r="AI20" s="222">
        <v>9</v>
      </c>
      <c r="AJ20" s="222">
        <v>19148</v>
      </c>
      <c r="AK20" s="223">
        <f t="shared" si="9"/>
        <v>1</v>
      </c>
      <c r="AL20" s="222">
        <v>18</v>
      </c>
      <c r="AM20" s="222">
        <v>35394</v>
      </c>
      <c r="AN20" s="222"/>
      <c r="AO20" s="222"/>
      <c r="AP20" s="253"/>
    </row>
    <row r="21" spans="1:42" s="141" customFormat="1">
      <c r="A21" s="168">
        <v>8</v>
      </c>
      <c r="B21" s="168" t="s">
        <v>33</v>
      </c>
      <c r="C21" s="169">
        <v>108.5</v>
      </c>
      <c r="D21" s="169">
        <v>453682</v>
      </c>
      <c r="E21" s="170">
        <v>143</v>
      </c>
      <c r="F21" s="169">
        <v>643207</v>
      </c>
      <c r="G21" s="169">
        <v>0</v>
      </c>
      <c r="H21" s="169">
        <v>0</v>
      </c>
      <c r="I21" s="172">
        <f t="shared" si="1"/>
        <v>274222.25</v>
      </c>
      <c r="J21" s="169">
        <v>6902</v>
      </c>
      <c r="K21" s="171">
        <v>10981</v>
      </c>
      <c r="L21" s="171">
        <v>0</v>
      </c>
      <c r="M21" s="171">
        <v>8848</v>
      </c>
      <c r="N21" s="171">
        <v>10620</v>
      </c>
      <c r="O21" s="171">
        <v>0</v>
      </c>
      <c r="P21" s="171">
        <v>24773</v>
      </c>
      <c r="Q21" s="171">
        <v>0</v>
      </c>
      <c r="R21" s="171">
        <v>0</v>
      </c>
      <c r="S21" s="172">
        <f t="shared" si="2"/>
        <v>137111.125</v>
      </c>
      <c r="T21" s="172">
        <v>3540</v>
      </c>
      <c r="U21" s="173">
        <f t="shared" si="3"/>
        <v>13.972222222222221</v>
      </c>
      <c r="V21" s="172">
        <f t="shared" si="0"/>
        <v>1573886.375</v>
      </c>
      <c r="W21" s="174">
        <f t="shared" si="4"/>
        <v>18886.636500000001</v>
      </c>
      <c r="Y21" s="223">
        <f t="shared" si="5"/>
        <v>13.972222222222221</v>
      </c>
      <c r="Z21" s="222">
        <v>251.5</v>
      </c>
      <c r="AA21" s="222">
        <v>411334</v>
      </c>
      <c r="AB21" s="223">
        <f t="shared" si="6"/>
        <v>1.6111111111111109</v>
      </c>
      <c r="AC21" s="222">
        <v>29</v>
      </c>
      <c r="AD21" s="222">
        <v>36394</v>
      </c>
      <c r="AE21" s="223">
        <f t="shared" si="7"/>
        <v>3.7222222222222219</v>
      </c>
      <c r="AF21" s="222">
        <v>67</v>
      </c>
      <c r="AG21" s="222">
        <v>114220</v>
      </c>
      <c r="AH21" s="223">
        <f t="shared" si="8"/>
        <v>0</v>
      </c>
      <c r="AI21" s="222"/>
      <c r="AJ21" s="222"/>
      <c r="AK21" s="223">
        <f t="shared" si="9"/>
        <v>0</v>
      </c>
      <c r="AL21" s="222"/>
      <c r="AM21" s="222"/>
      <c r="AN21" s="222"/>
      <c r="AO21" s="222"/>
      <c r="AP21" s="253"/>
    </row>
    <row r="22" spans="1:42" s="141" customFormat="1">
      <c r="A22" s="168">
        <v>9</v>
      </c>
      <c r="B22" s="168" t="s">
        <v>34</v>
      </c>
      <c r="C22" s="169">
        <v>115</v>
      </c>
      <c r="D22" s="169">
        <v>529140</v>
      </c>
      <c r="E22" s="170">
        <v>183</v>
      </c>
      <c r="F22" s="169">
        <v>846821</v>
      </c>
      <c r="G22" s="169">
        <v>77</v>
      </c>
      <c r="H22" s="169">
        <v>372954</v>
      </c>
      <c r="I22" s="172">
        <f t="shared" si="1"/>
        <v>437228.75</v>
      </c>
      <c r="J22" s="169">
        <v>16198</v>
      </c>
      <c r="K22" s="171">
        <v>12142</v>
      </c>
      <c r="L22" s="171">
        <v>5605</v>
      </c>
      <c r="M22" s="171">
        <v>11060</v>
      </c>
      <c r="N22" s="171">
        <v>13275</v>
      </c>
      <c r="O22" s="171">
        <v>5310</v>
      </c>
      <c r="P22" s="171">
        <v>24773</v>
      </c>
      <c r="Q22" s="171">
        <v>12191</v>
      </c>
      <c r="R22" s="171">
        <v>0</v>
      </c>
      <c r="S22" s="172">
        <f t="shared" si="2"/>
        <v>218614.375</v>
      </c>
      <c r="T22" s="172">
        <v>3540</v>
      </c>
      <c r="U22" s="173">
        <f t="shared" si="3"/>
        <v>20.833333333333332</v>
      </c>
      <c r="V22" s="172">
        <f t="shared" si="0"/>
        <v>2508852.125</v>
      </c>
      <c r="W22" s="174">
        <f t="shared" si="4"/>
        <v>30106.2255</v>
      </c>
      <c r="Y22" s="223">
        <f t="shared" si="5"/>
        <v>18.666666666666664</v>
      </c>
      <c r="Z22" s="222">
        <v>336</v>
      </c>
      <c r="AA22" s="222">
        <v>589804</v>
      </c>
      <c r="AB22" s="223">
        <f t="shared" si="6"/>
        <v>2.833333333333333</v>
      </c>
      <c r="AC22" s="222">
        <v>51</v>
      </c>
      <c r="AD22" s="222">
        <v>73354</v>
      </c>
      <c r="AE22" s="223">
        <f t="shared" si="7"/>
        <v>2.0555555555555554</v>
      </c>
      <c r="AF22" s="222">
        <v>37</v>
      </c>
      <c r="AG22" s="222">
        <v>65126</v>
      </c>
      <c r="AH22" s="223">
        <f t="shared" si="8"/>
        <v>4.3888888888888884</v>
      </c>
      <c r="AI22" s="222">
        <v>79</v>
      </c>
      <c r="AJ22" s="222">
        <v>161094</v>
      </c>
      <c r="AK22" s="223">
        <f t="shared" si="9"/>
        <v>1</v>
      </c>
      <c r="AL22" s="222">
        <v>18</v>
      </c>
      <c r="AM22" s="222">
        <v>35394</v>
      </c>
      <c r="AN22" s="222"/>
      <c r="AO22" s="222"/>
      <c r="AP22" s="253"/>
    </row>
    <row r="23" spans="1:42" s="141" customFormat="1">
      <c r="A23" s="168">
        <v>10</v>
      </c>
      <c r="B23" s="168" t="s">
        <v>35</v>
      </c>
      <c r="C23" s="169">
        <v>223</v>
      </c>
      <c r="D23" s="169">
        <v>942051</v>
      </c>
      <c r="E23" s="170">
        <v>296</v>
      </c>
      <c r="F23" s="172">
        <v>1306524</v>
      </c>
      <c r="G23" s="169">
        <v>157</v>
      </c>
      <c r="H23" s="169">
        <v>694322</v>
      </c>
      <c r="I23" s="172">
        <f t="shared" si="1"/>
        <v>735724.25</v>
      </c>
      <c r="J23" s="169">
        <v>16419</v>
      </c>
      <c r="K23" s="171">
        <v>13789</v>
      </c>
      <c r="L23" s="171">
        <v>8652</v>
      </c>
      <c r="M23" s="171">
        <v>17696</v>
      </c>
      <c r="N23" s="171">
        <v>21240</v>
      </c>
      <c r="O23" s="171">
        <v>10620</v>
      </c>
      <c r="P23" s="171">
        <v>24773</v>
      </c>
      <c r="Q23" s="171">
        <v>38147</v>
      </c>
      <c r="R23" s="254">
        <v>145379</v>
      </c>
      <c r="S23" s="172">
        <f t="shared" si="2"/>
        <v>367862.125</v>
      </c>
      <c r="T23" s="172">
        <v>3540</v>
      </c>
      <c r="U23" s="173">
        <f t="shared" si="3"/>
        <v>37.555555555555557</v>
      </c>
      <c r="V23" s="172">
        <f>T23+P23+O23+N23+M23+L23+K23+J23+I23+H23+F23+D23+S23+R23+Q23</f>
        <v>4346738.375</v>
      </c>
      <c r="W23" s="174">
        <f t="shared" si="4"/>
        <v>52160.860500000003</v>
      </c>
      <c r="Y23" s="223">
        <f t="shared" si="5"/>
        <v>32.5</v>
      </c>
      <c r="Z23" s="222">
        <v>585</v>
      </c>
      <c r="AA23" s="222">
        <v>958278</v>
      </c>
      <c r="AB23" s="223">
        <f t="shared" si="6"/>
        <v>8.7777777777777768</v>
      </c>
      <c r="AC23" s="222">
        <v>158</v>
      </c>
      <c r="AD23" s="222">
        <v>193018</v>
      </c>
      <c r="AE23" s="223">
        <f t="shared" si="7"/>
        <v>11.222222222222221</v>
      </c>
      <c r="AF23" s="222">
        <v>202</v>
      </c>
      <c r="AG23" s="222">
        <v>351197</v>
      </c>
      <c r="AH23" s="223">
        <f t="shared" si="8"/>
        <v>0</v>
      </c>
      <c r="AI23" s="222"/>
      <c r="AJ23" s="222"/>
      <c r="AK23" s="223">
        <f t="shared" si="9"/>
        <v>0</v>
      </c>
      <c r="AL23" s="222"/>
      <c r="AM23" s="222"/>
      <c r="AN23" s="222"/>
      <c r="AO23" s="222"/>
      <c r="AP23" s="253"/>
    </row>
    <row r="24" spans="1:42" s="141" customFormat="1">
      <c r="A24" s="175"/>
      <c r="B24" s="175" t="s">
        <v>36</v>
      </c>
      <c r="C24" s="176">
        <f t="shared" ref="C24:H24" si="10">SUM(C14:C23)</f>
        <v>1508.5</v>
      </c>
      <c r="D24" s="176">
        <f t="shared" si="10"/>
        <v>6814899</v>
      </c>
      <c r="E24" s="177">
        <f t="shared" si="10"/>
        <v>2183</v>
      </c>
      <c r="F24" s="176">
        <f t="shared" si="10"/>
        <v>10016522</v>
      </c>
      <c r="G24" s="176">
        <f t="shared" si="10"/>
        <v>961</v>
      </c>
      <c r="H24" s="176">
        <f t="shared" si="10"/>
        <v>4409598</v>
      </c>
      <c r="I24" s="176">
        <f>(D24+F24+H24)*25%</f>
        <v>5310254.75</v>
      </c>
      <c r="J24" s="176">
        <f t="shared" ref="J24:O24" si="11">SUM(J14:J23)</f>
        <v>142678</v>
      </c>
      <c r="K24" s="176">
        <f t="shared" si="11"/>
        <v>155310</v>
      </c>
      <c r="L24" s="176">
        <f t="shared" si="11"/>
        <v>55280</v>
      </c>
      <c r="M24" s="176">
        <f t="shared" si="11"/>
        <v>161478</v>
      </c>
      <c r="N24" s="176">
        <f t="shared" si="11"/>
        <v>183184</v>
      </c>
      <c r="O24" s="176">
        <f t="shared" si="11"/>
        <v>77335</v>
      </c>
      <c r="P24" s="176">
        <f t="shared" ref="P24:W24" si="12">SUM(P14:P23)</f>
        <v>272503</v>
      </c>
      <c r="Q24" s="176">
        <f t="shared" si="12"/>
        <v>354725</v>
      </c>
      <c r="R24" s="176">
        <f t="shared" si="12"/>
        <v>714387</v>
      </c>
      <c r="S24" s="176">
        <f t="shared" si="12"/>
        <v>2655127.375</v>
      </c>
      <c r="T24" s="176">
        <f t="shared" si="12"/>
        <v>35396.199999999997</v>
      </c>
      <c r="U24" s="173">
        <f t="shared" si="12"/>
        <v>258.47222222222223</v>
      </c>
      <c r="V24" s="176">
        <f t="shared" si="12"/>
        <v>31358677.324999999</v>
      </c>
      <c r="W24" s="176">
        <f t="shared" si="12"/>
        <v>376304.12790000008</v>
      </c>
      <c r="Y24" s="255">
        <f>SUM(Y14:Y23)</f>
        <v>230.24999999999997</v>
      </c>
      <c r="Z24" s="256">
        <f t="shared" ref="Z24:AJ24" si="13">SUM(Z14:Z23)</f>
        <v>4144.5</v>
      </c>
      <c r="AA24" s="256">
        <f t="shared" si="13"/>
        <v>7124738</v>
      </c>
      <c r="AB24" s="255">
        <f t="shared" si="13"/>
        <v>46.333333333333336</v>
      </c>
      <c r="AC24" s="256">
        <f t="shared" si="13"/>
        <v>834</v>
      </c>
      <c r="AD24" s="256">
        <f t="shared" si="13"/>
        <v>1136625</v>
      </c>
      <c r="AE24" s="255">
        <f t="shared" si="13"/>
        <v>53.166666666666664</v>
      </c>
      <c r="AF24" s="256">
        <f t="shared" si="13"/>
        <v>957</v>
      </c>
      <c r="AG24" s="256">
        <f t="shared" si="13"/>
        <v>1635942</v>
      </c>
      <c r="AH24" s="255">
        <f t="shared" si="13"/>
        <v>12.333333333333332</v>
      </c>
      <c r="AI24" s="256">
        <f t="shared" si="13"/>
        <v>222</v>
      </c>
      <c r="AJ24" s="256">
        <f t="shared" si="13"/>
        <v>431067</v>
      </c>
      <c r="AK24" s="223">
        <f t="shared" si="9"/>
        <v>3</v>
      </c>
      <c r="AL24" s="256">
        <f t="shared" ref="AL24" si="14">SUM(AL14:AL23)</f>
        <v>54</v>
      </c>
      <c r="AM24" s="256">
        <f t="shared" ref="AM24" si="15">SUM(AM14:AM23)</f>
        <v>106182</v>
      </c>
      <c r="AN24" s="256">
        <f t="shared" ref="AN24" si="16">SUM(AN14:AN23)</f>
        <v>0</v>
      </c>
      <c r="AO24" s="256">
        <f t="shared" ref="AO24" si="17">SUM(AO14:AO23)</f>
        <v>0</v>
      </c>
      <c r="AP24" s="256">
        <f t="shared" ref="AP24" si="18">SUM(AP14:AP23)</f>
        <v>0</v>
      </c>
    </row>
    <row r="25" spans="1:42">
      <c r="A25" s="178"/>
      <c r="B25" s="178"/>
      <c r="C25" s="179"/>
      <c r="D25" s="179"/>
      <c r="E25" s="180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81"/>
      <c r="V25" s="179"/>
      <c r="W25" s="179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</row>
    <row r="26" spans="1:42" s="185" customFormat="1" ht="12.75">
      <c r="A26" s="182"/>
      <c r="B26" s="182"/>
      <c r="C26" s="183"/>
      <c r="D26" s="138" t="s">
        <v>37</v>
      </c>
      <c r="E26" s="138"/>
      <c r="F26" s="138"/>
      <c r="G26" s="138"/>
      <c r="H26" s="139"/>
      <c r="I26" s="140"/>
      <c r="J26" s="140"/>
      <c r="K26" s="140"/>
      <c r="L26" s="140" t="s">
        <v>38</v>
      </c>
      <c r="M26" s="140"/>
      <c r="N26" s="183"/>
      <c r="O26" s="183"/>
      <c r="P26" s="183"/>
      <c r="Q26" s="183"/>
      <c r="R26" s="183"/>
      <c r="S26" s="183"/>
      <c r="T26" s="183"/>
      <c r="U26" s="184"/>
      <c r="V26" s="183"/>
      <c r="W26" s="183"/>
    </row>
    <row r="27" spans="1:42" s="185" customFormat="1" ht="12.75">
      <c r="A27" s="186"/>
      <c r="B27" s="186"/>
      <c r="C27" s="186"/>
      <c r="D27" s="186"/>
      <c r="E27" s="186"/>
      <c r="F27" s="186"/>
      <c r="G27" s="187"/>
      <c r="H27" s="187"/>
      <c r="I27" s="186"/>
      <c r="J27" s="188"/>
      <c r="K27" s="189"/>
      <c r="L27" s="189"/>
      <c r="M27" s="1"/>
      <c r="N27" s="1"/>
      <c r="O27" s="1"/>
      <c r="P27" s="1"/>
      <c r="Q27" s="1"/>
      <c r="R27" s="1"/>
      <c r="S27" s="1"/>
      <c r="T27" s="142"/>
      <c r="U27" s="190"/>
      <c r="V27" s="191"/>
      <c r="W27" s="186"/>
    </row>
    <row r="28" spans="1:42" s="185" customFormat="1" ht="12.75">
      <c r="A28" s="186"/>
      <c r="B28" s="186"/>
      <c r="C28" s="186"/>
      <c r="D28" s="142" t="s">
        <v>39</v>
      </c>
      <c r="E28" s="137"/>
      <c r="F28" s="142"/>
      <c r="G28" s="140"/>
      <c r="H28" s="140"/>
      <c r="I28" s="142"/>
      <c r="J28" s="140"/>
      <c r="K28" s="192"/>
      <c r="L28" s="192" t="s">
        <v>99</v>
      </c>
      <c r="M28" s="140"/>
      <c r="N28" s="186"/>
      <c r="O28" s="186"/>
      <c r="P28" s="193"/>
      <c r="Q28" s="193"/>
      <c r="R28" s="193"/>
      <c r="S28" s="193"/>
      <c r="T28" s="193"/>
      <c r="U28" s="186"/>
      <c r="V28" s="186"/>
      <c r="W28" s="186"/>
    </row>
    <row r="29" spans="1:42" s="185" customFormat="1" ht="12.75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</row>
    <row r="30" spans="1:42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</row>
  </sheetData>
  <mergeCells count="21">
    <mergeCell ref="AN11:AP12"/>
    <mergeCell ref="AK11:AM12"/>
    <mergeCell ref="Y11:AA12"/>
    <mergeCell ref="AB11:AD12"/>
    <mergeCell ref="AE11:AG12"/>
    <mergeCell ref="AH11:AJ12"/>
    <mergeCell ref="W11:W13"/>
    <mergeCell ref="R12:R13"/>
    <mergeCell ref="P11:P13"/>
    <mergeCell ref="U11:U13"/>
    <mergeCell ref="V11:V13"/>
    <mergeCell ref="Q11:Q13"/>
    <mergeCell ref="B11:B13"/>
    <mergeCell ref="C11:D11"/>
    <mergeCell ref="E11:F11"/>
    <mergeCell ref="G11:H11"/>
    <mergeCell ref="C6:P6"/>
    <mergeCell ref="C7:P7"/>
    <mergeCell ref="J11:L12"/>
    <mergeCell ref="M11:O12"/>
    <mergeCell ref="I11:I13"/>
  </mergeCells>
  <phoneticPr fontId="32" type="noConversion"/>
  <pageMargins left="0.7" right="0.7" top="0.75" bottom="0.75" header="0.3" footer="0.3"/>
  <pageSetup paperSize="9" scale="80" orientation="landscape" r:id="rId1"/>
  <colBreaks count="1" manualBreakCount="1">
    <brk id="23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U26"/>
  <sheetViews>
    <sheetView view="pageBreakPreview" zoomScale="110" zoomScaleSheetLayoutView="110" workbookViewId="0">
      <selection activeCell="J14" sqref="J14"/>
    </sheetView>
  </sheetViews>
  <sheetFormatPr defaultRowHeight="15"/>
  <cols>
    <col min="1" max="1" width="3.42578125" customWidth="1"/>
    <col min="2" max="2" width="18" customWidth="1"/>
    <col min="3" max="3" width="4.5703125" customWidth="1"/>
    <col min="4" max="4" width="7.28515625" customWidth="1"/>
    <col min="5" max="5" width="4.5703125" customWidth="1"/>
    <col min="7" max="7" width="4.5703125" customWidth="1"/>
    <col min="9" max="9" width="4.5703125" customWidth="1"/>
    <col min="11" max="11" width="4.7109375" customWidth="1"/>
    <col min="13" max="13" width="4.85546875" customWidth="1"/>
    <col min="15" max="15" width="4.42578125" customWidth="1"/>
    <col min="16" max="16" width="7.7109375" customWidth="1"/>
    <col min="18" max="18" width="6.7109375" customWidth="1"/>
  </cols>
  <sheetData>
    <row r="2" spans="1:21">
      <c r="C2" s="3" t="s">
        <v>2</v>
      </c>
      <c r="P2" s="4" t="s">
        <v>40</v>
      </c>
      <c r="Q2" s="4"/>
      <c r="R2" s="4"/>
      <c r="S2" s="4"/>
      <c r="T2" s="4"/>
      <c r="U2" s="4"/>
    </row>
    <row r="3" spans="1:21">
      <c r="B3" s="4"/>
      <c r="O3" s="154" t="s">
        <v>117</v>
      </c>
      <c r="P3" s="154"/>
      <c r="Q3" s="154"/>
      <c r="R3" s="154"/>
      <c r="S3" s="154"/>
      <c r="T3" s="154"/>
      <c r="U3" s="154"/>
    </row>
    <row r="4" spans="1:21">
      <c r="B4" s="5"/>
      <c r="O4" s="154" t="s">
        <v>149</v>
      </c>
      <c r="P4" s="154"/>
      <c r="Q4" s="154"/>
      <c r="R4" s="154"/>
      <c r="S4" s="154"/>
      <c r="T4" s="154"/>
      <c r="U4" s="154"/>
    </row>
    <row r="5" spans="1:21">
      <c r="B5" s="6"/>
      <c r="O5" s="154" t="s">
        <v>98</v>
      </c>
      <c r="P5" s="154"/>
      <c r="Q5" s="154"/>
      <c r="R5" s="154"/>
      <c r="S5" s="154"/>
      <c r="T5" s="154"/>
      <c r="U5" s="154"/>
    </row>
    <row r="6" spans="1:21" ht="14.25" customHeight="1">
      <c r="B6" s="6"/>
      <c r="O6" s="154" t="s">
        <v>1</v>
      </c>
      <c r="P6" s="154"/>
      <c r="Q6" s="154"/>
      <c r="R6" s="154"/>
      <c r="S6" s="154"/>
      <c r="T6" s="154"/>
      <c r="U6" s="154"/>
    </row>
    <row r="7" spans="1:21" ht="19.5" customHeight="1">
      <c r="B7" s="6"/>
      <c r="O7" s="4"/>
      <c r="P7" s="4"/>
      <c r="Q7" s="4"/>
      <c r="R7" s="4"/>
      <c r="S7" s="4"/>
      <c r="T7" s="4"/>
      <c r="U7" s="4"/>
    </row>
    <row r="8" spans="1:21">
      <c r="B8" s="289" t="s">
        <v>150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4"/>
      <c r="P8" s="4"/>
      <c r="Q8" s="4"/>
      <c r="R8" s="4"/>
      <c r="S8" s="4"/>
      <c r="T8" s="4"/>
      <c r="U8" s="4"/>
    </row>
    <row r="9" spans="1:21">
      <c r="B9" s="8"/>
      <c r="C9" s="7"/>
      <c r="D9" s="7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4"/>
      <c r="Q9" s="4"/>
      <c r="R9" s="4"/>
      <c r="S9" s="4"/>
      <c r="T9" s="7"/>
      <c r="U9" s="7"/>
    </row>
    <row r="10" spans="1:21">
      <c r="A10" s="3"/>
      <c r="B10" s="8"/>
      <c r="C10" s="7"/>
      <c r="D10" s="7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4"/>
      <c r="Q10" s="4"/>
      <c r="R10" s="4"/>
      <c r="S10" s="4"/>
      <c r="T10" s="7"/>
      <c r="U10" s="7"/>
    </row>
    <row r="11" spans="1:21" ht="48.75">
      <c r="A11" s="10" t="s">
        <v>3</v>
      </c>
      <c r="B11" s="11" t="s">
        <v>4</v>
      </c>
      <c r="C11" s="12" t="s">
        <v>41</v>
      </c>
      <c r="D11" s="13" t="s">
        <v>42</v>
      </c>
      <c r="E11" s="12" t="s">
        <v>41</v>
      </c>
      <c r="F11" s="12" t="s">
        <v>43</v>
      </c>
      <c r="G11" s="12" t="s">
        <v>44</v>
      </c>
      <c r="H11" s="12" t="s">
        <v>127</v>
      </c>
      <c r="I11" s="12" t="s">
        <v>41</v>
      </c>
      <c r="J11" s="12" t="s">
        <v>100</v>
      </c>
      <c r="K11" s="12" t="s">
        <v>41</v>
      </c>
      <c r="L11" s="12" t="s">
        <v>45</v>
      </c>
      <c r="M11" s="12" t="s">
        <v>44</v>
      </c>
      <c r="N11" s="12" t="s">
        <v>46</v>
      </c>
      <c r="O11" s="12" t="s">
        <v>44</v>
      </c>
      <c r="P11" s="12" t="s">
        <v>47</v>
      </c>
      <c r="Q11" s="12" t="s">
        <v>48</v>
      </c>
      <c r="R11" s="12" t="s">
        <v>49</v>
      </c>
      <c r="S11" s="12" t="s">
        <v>50</v>
      </c>
      <c r="T11" s="12" t="s">
        <v>51</v>
      </c>
      <c r="U11" s="9" t="s">
        <v>52</v>
      </c>
    </row>
    <row r="12" spans="1:21" s="227" customFormat="1">
      <c r="A12" s="229">
        <v>1</v>
      </c>
      <c r="B12" s="230" t="s">
        <v>26</v>
      </c>
      <c r="C12" s="231">
        <v>1</v>
      </c>
      <c r="D12" s="231">
        <v>66364</v>
      </c>
      <c r="E12" s="231">
        <v>1</v>
      </c>
      <c r="F12" s="231">
        <v>65833</v>
      </c>
      <c r="G12" s="231">
        <v>1</v>
      </c>
      <c r="H12" s="231">
        <v>68133</v>
      </c>
      <c r="I12" s="231"/>
      <c r="J12" s="231"/>
      <c r="K12" s="231">
        <v>0.5</v>
      </c>
      <c r="L12" s="231">
        <v>23714</v>
      </c>
      <c r="M12" s="231">
        <v>2</v>
      </c>
      <c r="N12" s="231">
        <v>100341</v>
      </c>
      <c r="O12" s="231"/>
      <c r="P12" s="231"/>
      <c r="Q12" s="232">
        <f>(P12+L12+H12+F12+D12+J12)*0.25</f>
        <v>56011</v>
      </c>
      <c r="R12" s="233">
        <f>O12+M12+K12+G12+E12+C12+I12</f>
        <v>5.5</v>
      </c>
      <c r="S12" s="234">
        <f>(Q12+P12+N12+L12+H12+F12+D12+J12)*0.1</f>
        <v>38039.599999999999</v>
      </c>
      <c r="T12" s="234">
        <f>Q12+P12+N12+L12+H12+F12+D12+S12</f>
        <v>418435.6</v>
      </c>
      <c r="U12" s="234">
        <f>(T12*12)/1000</f>
        <v>5021.2271999999994</v>
      </c>
    </row>
    <row r="13" spans="1:21" s="227" customFormat="1">
      <c r="A13" s="229">
        <v>2</v>
      </c>
      <c r="B13" s="229" t="s">
        <v>27</v>
      </c>
      <c r="C13" s="231">
        <v>1</v>
      </c>
      <c r="D13" s="231">
        <v>60878</v>
      </c>
      <c r="E13" s="231">
        <v>1</v>
      </c>
      <c r="F13" s="231">
        <v>48313</v>
      </c>
      <c r="G13" s="231">
        <v>1</v>
      </c>
      <c r="H13" s="231">
        <v>66010</v>
      </c>
      <c r="I13" s="231"/>
      <c r="J13" s="231"/>
      <c r="K13" s="231">
        <v>0.5</v>
      </c>
      <c r="L13" s="231">
        <v>29377</v>
      </c>
      <c r="M13" s="231">
        <v>3</v>
      </c>
      <c r="N13" s="231">
        <v>153433</v>
      </c>
      <c r="O13" s="231"/>
      <c r="P13" s="231"/>
      <c r="Q13" s="232">
        <f t="shared" ref="Q13:Q20" si="0">(P13+L13+H13+F13+D13+J13)*0.25</f>
        <v>51144.5</v>
      </c>
      <c r="R13" s="233">
        <f t="shared" ref="R13:R21" si="1">O13+M13+K13+G13+E13+C13+I13</f>
        <v>6.5</v>
      </c>
      <c r="S13" s="234">
        <f t="shared" ref="S13:S21" si="2">(Q13+P13+N13+L13+H13+F13+D13+J13)*0.1</f>
        <v>40915.550000000003</v>
      </c>
      <c r="T13" s="234">
        <f t="shared" ref="T13:T17" si="3">Q13+P13+N13+L13+H13+F13+D13+S13</f>
        <v>450071.05</v>
      </c>
      <c r="U13" s="234">
        <f t="shared" ref="U13:U21" si="4">(T13*12)/1000</f>
        <v>5400.8525999999993</v>
      </c>
    </row>
    <row r="14" spans="1:21" s="227" customFormat="1">
      <c r="A14" s="229">
        <v>3</v>
      </c>
      <c r="B14" s="229" t="s">
        <v>28</v>
      </c>
      <c r="C14" s="231">
        <v>1</v>
      </c>
      <c r="D14" s="231">
        <v>55923</v>
      </c>
      <c r="E14" s="231">
        <v>1</v>
      </c>
      <c r="F14" s="231">
        <v>57338</v>
      </c>
      <c r="G14" s="231">
        <v>1</v>
      </c>
      <c r="H14" s="231">
        <v>54507</v>
      </c>
      <c r="I14" s="231"/>
      <c r="J14" s="231"/>
      <c r="K14" s="231">
        <v>1</v>
      </c>
      <c r="L14" s="235">
        <v>52737</v>
      </c>
      <c r="M14" s="231">
        <v>2</v>
      </c>
      <c r="N14" s="231">
        <v>109987</v>
      </c>
      <c r="O14" s="231">
        <v>1</v>
      </c>
      <c r="P14" s="231">
        <v>66010</v>
      </c>
      <c r="Q14" s="232">
        <f t="shared" si="0"/>
        <v>71628.75</v>
      </c>
      <c r="R14" s="233">
        <f t="shared" si="1"/>
        <v>7</v>
      </c>
      <c r="S14" s="234">
        <f t="shared" si="2"/>
        <v>46813.075000000004</v>
      </c>
      <c r="T14" s="234">
        <f t="shared" si="3"/>
        <v>514943.82500000001</v>
      </c>
      <c r="U14" s="234">
        <f t="shared" si="4"/>
        <v>6179.3259000000007</v>
      </c>
    </row>
    <row r="15" spans="1:21" s="227" customFormat="1">
      <c r="A15" s="229">
        <v>4</v>
      </c>
      <c r="B15" s="229" t="s">
        <v>29</v>
      </c>
      <c r="C15" s="231">
        <v>1.5</v>
      </c>
      <c r="D15" s="231">
        <v>89016</v>
      </c>
      <c r="E15" s="231">
        <v>1</v>
      </c>
      <c r="F15" s="231">
        <v>70611</v>
      </c>
      <c r="G15" s="231">
        <v>1.5</v>
      </c>
      <c r="H15" s="231">
        <v>92201</v>
      </c>
      <c r="I15" s="231"/>
      <c r="J15" s="231"/>
      <c r="K15" s="231">
        <v>1</v>
      </c>
      <c r="L15" s="231">
        <v>53799</v>
      </c>
      <c r="M15" s="231">
        <v>3.49</v>
      </c>
      <c r="N15" s="231">
        <v>177001</v>
      </c>
      <c r="O15" s="231">
        <v>1</v>
      </c>
      <c r="P15" s="231">
        <v>68487</v>
      </c>
      <c r="Q15" s="232">
        <f>(P15+L15+H15+F15+D15+J15)*0.25</f>
        <v>93528.5</v>
      </c>
      <c r="R15" s="233">
        <f t="shared" si="1"/>
        <v>9.49</v>
      </c>
      <c r="S15" s="234">
        <f t="shared" si="2"/>
        <v>64464.350000000006</v>
      </c>
      <c r="T15" s="234">
        <f t="shared" si="3"/>
        <v>709107.85</v>
      </c>
      <c r="U15" s="234">
        <f t="shared" si="4"/>
        <v>8509.2941999999985</v>
      </c>
    </row>
    <row r="16" spans="1:21" s="227" customFormat="1">
      <c r="A16" s="229">
        <v>5</v>
      </c>
      <c r="B16" s="229" t="s">
        <v>30</v>
      </c>
      <c r="C16" s="231">
        <v>1</v>
      </c>
      <c r="D16" s="231">
        <v>55923</v>
      </c>
      <c r="E16" s="231">
        <v>0.5</v>
      </c>
      <c r="F16" s="231">
        <v>25041</v>
      </c>
      <c r="G16" s="231">
        <v>0.5</v>
      </c>
      <c r="H16" s="231">
        <v>24510</v>
      </c>
      <c r="I16" s="231"/>
      <c r="J16" s="231"/>
      <c r="K16" s="231">
        <v>0.5</v>
      </c>
      <c r="L16" s="231">
        <v>24953</v>
      </c>
      <c r="M16" s="231">
        <v>0.5</v>
      </c>
      <c r="N16" s="231">
        <v>20705</v>
      </c>
      <c r="O16" s="231"/>
      <c r="P16" s="231"/>
      <c r="Q16" s="232">
        <f t="shared" si="0"/>
        <v>32606.75</v>
      </c>
      <c r="R16" s="233">
        <f t="shared" si="1"/>
        <v>3</v>
      </c>
      <c r="S16" s="234">
        <f t="shared" si="2"/>
        <v>18373.875</v>
      </c>
      <c r="T16" s="234">
        <f t="shared" si="3"/>
        <v>202112.625</v>
      </c>
      <c r="U16" s="234">
        <f t="shared" si="4"/>
        <v>2425.3515000000002</v>
      </c>
    </row>
    <row r="17" spans="1:21" s="227" customFormat="1">
      <c r="A17" s="229">
        <v>6</v>
      </c>
      <c r="B17" s="229" t="s">
        <v>31</v>
      </c>
      <c r="C17" s="231">
        <v>1</v>
      </c>
      <c r="D17" s="231">
        <v>76451</v>
      </c>
      <c r="E17" s="231">
        <v>1</v>
      </c>
      <c r="F17" s="231">
        <v>65833</v>
      </c>
      <c r="G17" s="231">
        <v>0.5</v>
      </c>
      <c r="H17" s="231">
        <v>33005</v>
      </c>
      <c r="I17" s="231"/>
      <c r="J17" s="231"/>
      <c r="K17" s="231">
        <v>0.5</v>
      </c>
      <c r="L17" s="235">
        <v>21059</v>
      </c>
      <c r="M17" s="231">
        <v>1</v>
      </c>
      <c r="N17" s="231">
        <v>52736</v>
      </c>
      <c r="O17" s="231"/>
      <c r="P17" s="231"/>
      <c r="Q17" s="232">
        <f t="shared" si="0"/>
        <v>49087</v>
      </c>
      <c r="R17" s="233">
        <f t="shared" si="1"/>
        <v>4</v>
      </c>
      <c r="S17" s="234">
        <f t="shared" si="2"/>
        <v>29817.100000000002</v>
      </c>
      <c r="T17" s="234">
        <f t="shared" si="3"/>
        <v>327988.09999999998</v>
      </c>
      <c r="U17" s="234">
        <f t="shared" si="4"/>
        <v>3935.8571999999999</v>
      </c>
    </row>
    <row r="18" spans="1:21" s="227" customFormat="1">
      <c r="A18" s="229">
        <v>7</v>
      </c>
      <c r="B18" s="229" t="s">
        <v>32</v>
      </c>
      <c r="C18" s="231">
        <v>1</v>
      </c>
      <c r="D18" s="231">
        <v>65302</v>
      </c>
      <c r="E18" s="231">
        <v>1</v>
      </c>
      <c r="F18" s="231">
        <v>67072</v>
      </c>
      <c r="G18" s="231">
        <v>1.5</v>
      </c>
      <c r="H18" s="231">
        <v>79017</v>
      </c>
      <c r="I18" s="231">
        <v>0.5</v>
      </c>
      <c r="J18" s="231">
        <v>38049</v>
      </c>
      <c r="K18" s="231">
        <v>0.5</v>
      </c>
      <c r="L18" s="231">
        <v>25838</v>
      </c>
      <c r="M18" s="231">
        <v>2.5</v>
      </c>
      <c r="N18" s="231">
        <v>114499</v>
      </c>
      <c r="O18" s="231"/>
      <c r="P18" s="231"/>
      <c r="Q18" s="232">
        <f>(P18+L18+H18+F18+D18+J18)*0.25</f>
        <v>68819.5</v>
      </c>
      <c r="R18" s="233">
        <f t="shared" si="1"/>
        <v>7</v>
      </c>
      <c r="S18" s="234">
        <f>(Q18+P18+N18+L18+H18+F18+D18+J18)*0.1</f>
        <v>45859.65</v>
      </c>
      <c r="T18" s="234">
        <f>Q18+P18+N18+L18+H18+F18+D18+S18+J18</f>
        <v>504456.15</v>
      </c>
      <c r="U18" s="234">
        <f t="shared" si="4"/>
        <v>6053.4738000000007</v>
      </c>
    </row>
    <row r="19" spans="1:21" s="227" customFormat="1">
      <c r="A19" s="229">
        <v>8</v>
      </c>
      <c r="B19" s="229" t="s">
        <v>33</v>
      </c>
      <c r="C19" s="231">
        <v>1</v>
      </c>
      <c r="D19" s="231">
        <v>56453</v>
      </c>
      <c r="E19" s="231">
        <v>0.5</v>
      </c>
      <c r="F19" s="231">
        <v>31058</v>
      </c>
      <c r="G19" s="231">
        <v>0.5</v>
      </c>
      <c r="H19" s="231">
        <v>27253</v>
      </c>
      <c r="I19" s="231"/>
      <c r="J19" s="231"/>
      <c r="K19" s="231">
        <v>0.5</v>
      </c>
      <c r="L19" s="231">
        <v>26899</v>
      </c>
      <c r="M19" s="231">
        <v>1</v>
      </c>
      <c r="N19" s="231">
        <v>48313</v>
      </c>
      <c r="O19" s="231"/>
      <c r="P19" s="231"/>
      <c r="Q19" s="232">
        <f t="shared" si="0"/>
        <v>35415.75</v>
      </c>
      <c r="R19" s="233">
        <f t="shared" si="1"/>
        <v>3.5</v>
      </c>
      <c r="S19" s="234">
        <f t="shared" si="2"/>
        <v>22539.175000000003</v>
      </c>
      <c r="T19" s="234">
        <f t="shared" ref="T19:T21" si="5">Q19+P19+N19+L19+H19+F19+D19+S19+J19</f>
        <v>247930.92499999999</v>
      </c>
      <c r="U19" s="234">
        <f t="shared" si="4"/>
        <v>2975.1710999999996</v>
      </c>
    </row>
    <row r="20" spans="1:21" s="227" customFormat="1">
      <c r="A20" s="229">
        <v>9</v>
      </c>
      <c r="B20" s="229" t="s">
        <v>34</v>
      </c>
      <c r="C20" s="231">
        <v>1</v>
      </c>
      <c r="D20" s="231">
        <v>68310</v>
      </c>
      <c r="E20" s="231">
        <v>1</v>
      </c>
      <c r="F20" s="231">
        <v>72558</v>
      </c>
      <c r="G20" s="231">
        <v>0.5</v>
      </c>
      <c r="H20" s="231">
        <v>29377</v>
      </c>
      <c r="I20" s="231"/>
      <c r="J20" s="231"/>
      <c r="K20" s="231">
        <v>0.5</v>
      </c>
      <c r="L20" s="231">
        <v>22829</v>
      </c>
      <c r="M20" s="231">
        <v>1</v>
      </c>
      <c r="N20" s="231">
        <v>51056</v>
      </c>
      <c r="O20" s="231"/>
      <c r="P20" s="231"/>
      <c r="Q20" s="232">
        <f t="shared" si="0"/>
        <v>48268.5</v>
      </c>
      <c r="R20" s="233">
        <f t="shared" si="1"/>
        <v>4</v>
      </c>
      <c r="S20" s="234">
        <f t="shared" si="2"/>
        <v>29239.850000000002</v>
      </c>
      <c r="T20" s="234">
        <f t="shared" si="5"/>
        <v>321638.34999999998</v>
      </c>
      <c r="U20" s="234">
        <f t="shared" si="4"/>
        <v>3859.6601999999998</v>
      </c>
    </row>
    <row r="21" spans="1:21" s="227" customFormat="1">
      <c r="A21" s="229">
        <v>10</v>
      </c>
      <c r="B21" s="229" t="s">
        <v>35</v>
      </c>
      <c r="C21" s="231">
        <v>1</v>
      </c>
      <c r="D21" s="231">
        <v>65125</v>
      </c>
      <c r="E21" s="231">
        <v>1</v>
      </c>
      <c r="F21" s="231">
        <v>43889</v>
      </c>
      <c r="G21" s="231">
        <v>1</v>
      </c>
      <c r="H21" s="231">
        <v>55923</v>
      </c>
      <c r="I21" s="231"/>
      <c r="J21" s="231"/>
      <c r="K21" s="231">
        <v>1</v>
      </c>
      <c r="L21" s="231">
        <v>49463</v>
      </c>
      <c r="M21" s="231">
        <v>3</v>
      </c>
      <c r="N21" s="231">
        <v>155203</v>
      </c>
      <c r="O21" s="231">
        <v>1</v>
      </c>
      <c r="P21" s="231">
        <v>49021</v>
      </c>
      <c r="Q21" s="232">
        <f>(P21+L21+H21+F21+D21+J21)*0.25</f>
        <v>65855.25</v>
      </c>
      <c r="R21" s="233">
        <f t="shared" si="1"/>
        <v>8</v>
      </c>
      <c r="S21" s="234">
        <f t="shared" si="2"/>
        <v>48447.925000000003</v>
      </c>
      <c r="T21" s="234">
        <f t="shared" si="5"/>
        <v>532927.17500000005</v>
      </c>
      <c r="U21" s="234">
        <f t="shared" si="4"/>
        <v>6395.1261000000004</v>
      </c>
    </row>
    <row r="22" spans="1:21">
      <c r="A22" s="19"/>
      <c r="B22" s="19" t="s">
        <v>36</v>
      </c>
      <c r="C22" s="20">
        <f>SUM(C12:C21)</f>
        <v>10.5</v>
      </c>
      <c r="D22" s="20">
        <f t="shared" ref="D22:U22" si="6">SUM(D12:D21)</f>
        <v>659745</v>
      </c>
      <c r="E22" s="20">
        <f t="shared" si="6"/>
        <v>9</v>
      </c>
      <c r="F22" s="20">
        <f t="shared" si="6"/>
        <v>547546</v>
      </c>
      <c r="G22" s="20">
        <f t="shared" si="6"/>
        <v>9</v>
      </c>
      <c r="H22" s="20">
        <f t="shared" si="6"/>
        <v>529936</v>
      </c>
      <c r="I22" s="20">
        <f t="shared" si="6"/>
        <v>0.5</v>
      </c>
      <c r="J22" s="20">
        <f t="shared" si="6"/>
        <v>38049</v>
      </c>
      <c r="K22" s="20">
        <f t="shared" si="6"/>
        <v>6.5</v>
      </c>
      <c r="L22" s="20">
        <f t="shared" si="6"/>
        <v>330668</v>
      </c>
      <c r="M22" s="20">
        <f t="shared" si="6"/>
        <v>19.490000000000002</v>
      </c>
      <c r="N22" s="20">
        <f t="shared" si="6"/>
        <v>983274</v>
      </c>
      <c r="O22" s="20">
        <f t="shared" si="6"/>
        <v>3</v>
      </c>
      <c r="P22" s="20">
        <f t="shared" si="6"/>
        <v>183518</v>
      </c>
      <c r="Q22" s="20">
        <f t="shared" si="6"/>
        <v>572365.5</v>
      </c>
      <c r="R22" s="20">
        <f t="shared" si="6"/>
        <v>57.99</v>
      </c>
      <c r="S22" s="236">
        <f t="shared" si="6"/>
        <v>384510.14999999997</v>
      </c>
      <c r="T22" s="236">
        <f t="shared" si="6"/>
        <v>4229611.6499999994</v>
      </c>
      <c r="U22" s="236">
        <f t="shared" si="6"/>
        <v>50755.339800000002</v>
      </c>
    </row>
    <row r="23" spans="1:21">
      <c r="C23" s="14"/>
      <c r="D23" s="14"/>
      <c r="E23" s="288"/>
      <c r="F23" s="288"/>
      <c r="G23" s="288"/>
      <c r="H23" s="288"/>
      <c r="I23" s="288"/>
      <c r="J23" s="288"/>
      <c r="K23" s="288"/>
      <c r="L23" s="288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E24" s="4" t="s">
        <v>37</v>
      </c>
      <c r="F24" s="4"/>
      <c r="G24" s="4"/>
      <c r="N24" s="15" t="s">
        <v>38</v>
      </c>
      <c r="O24" s="15"/>
    </row>
    <row r="25" spans="1:21">
      <c r="E25" s="4"/>
      <c r="F25" s="4"/>
      <c r="G25" s="4"/>
      <c r="N25" s="15"/>
      <c r="O25" s="15"/>
    </row>
    <row r="26" spans="1:21">
      <c r="E26" s="4" t="s">
        <v>39</v>
      </c>
      <c r="F26" s="4"/>
      <c r="G26" s="4"/>
      <c r="N26" s="15" t="s">
        <v>99</v>
      </c>
      <c r="O26" s="15"/>
    </row>
  </sheetData>
  <mergeCells count="4">
    <mergeCell ref="E23:L23"/>
    <mergeCell ref="B8:N8"/>
    <mergeCell ref="E9:O9"/>
    <mergeCell ref="E10:O10"/>
  </mergeCells>
  <phoneticPr fontId="32" type="noConversion"/>
  <pageMargins left="0.70866141732283472" right="0.5118110236220472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26"/>
  <sheetViews>
    <sheetView view="pageBreakPreview" zoomScale="110" zoomScaleSheetLayoutView="110" workbookViewId="0">
      <selection activeCell="L11" sqref="L11"/>
    </sheetView>
  </sheetViews>
  <sheetFormatPr defaultRowHeight="15"/>
  <cols>
    <col min="1" max="1" width="3.42578125" customWidth="1"/>
    <col min="2" max="2" width="18" customWidth="1"/>
    <col min="3" max="3" width="4.5703125" customWidth="1"/>
    <col min="4" max="4" width="7.28515625" customWidth="1"/>
    <col min="5" max="5" width="4.5703125" customWidth="1"/>
    <col min="7" max="7" width="4.5703125" customWidth="1"/>
    <col min="9" max="9" width="4.5703125" customWidth="1"/>
    <col min="11" max="11" width="4.7109375" customWidth="1"/>
    <col min="13" max="13" width="4.85546875" customWidth="1"/>
    <col min="15" max="15" width="4.42578125" customWidth="1"/>
    <col min="16" max="16" width="7.7109375" customWidth="1"/>
    <col min="18" max="18" width="6.7109375" customWidth="1"/>
  </cols>
  <sheetData>
    <row r="2" spans="1:21">
      <c r="C2" s="3" t="s">
        <v>2</v>
      </c>
      <c r="P2" s="4" t="s">
        <v>40</v>
      </c>
      <c r="Q2" s="4"/>
      <c r="R2" s="4"/>
      <c r="S2" s="4"/>
      <c r="T2" s="4"/>
      <c r="U2" s="4"/>
    </row>
    <row r="3" spans="1:21">
      <c r="B3" s="4"/>
      <c r="O3" s="154" t="s">
        <v>145</v>
      </c>
      <c r="P3" s="154"/>
      <c r="Q3" s="154"/>
      <c r="R3" s="154"/>
      <c r="S3" s="154"/>
      <c r="T3" s="154"/>
      <c r="U3" s="154"/>
    </row>
    <row r="4" spans="1:21">
      <c r="B4" s="5"/>
      <c r="O4" s="154" t="s">
        <v>144</v>
      </c>
      <c r="P4" s="154"/>
      <c r="Q4" s="154"/>
      <c r="R4" s="154"/>
      <c r="S4" s="154"/>
      <c r="T4" s="154"/>
      <c r="U4" s="154"/>
    </row>
    <row r="5" spans="1:21">
      <c r="B5" s="6"/>
      <c r="O5" s="154" t="s">
        <v>98</v>
      </c>
      <c r="P5" s="154"/>
      <c r="Q5" s="154"/>
      <c r="R5" s="154"/>
      <c r="S5" s="154"/>
      <c r="T5" s="154"/>
      <c r="U5" s="154"/>
    </row>
    <row r="6" spans="1:21" ht="14.25" customHeight="1">
      <c r="B6" s="6"/>
      <c r="O6" s="154" t="s">
        <v>1</v>
      </c>
      <c r="P6" s="154"/>
      <c r="Q6" s="154"/>
      <c r="R6" s="154"/>
      <c r="S6" s="154"/>
      <c r="T6" s="154"/>
      <c r="U6" s="154"/>
    </row>
    <row r="7" spans="1:21" ht="19.5" customHeight="1">
      <c r="B7" s="6"/>
      <c r="O7" s="4"/>
      <c r="P7" s="4"/>
      <c r="Q7" s="4"/>
      <c r="R7" s="4"/>
      <c r="S7" s="4"/>
      <c r="T7" s="4"/>
      <c r="U7" s="4"/>
    </row>
    <row r="8" spans="1:21">
      <c r="B8" s="289" t="s">
        <v>150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4"/>
      <c r="P8" s="4"/>
      <c r="Q8" s="4"/>
      <c r="R8" s="4"/>
      <c r="S8" s="4"/>
      <c r="T8" s="4"/>
      <c r="U8" s="4"/>
    </row>
    <row r="9" spans="1:21">
      <c r="B9" s="8"/>
      <c r="C9" s="7"/>
      <c r="D9" s="7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4"/>
      <c r="Q9" s="4"/>
      <c r="R9" s="4"/>
      <c r="S9" s="4"/>
      <c r="T9" s="7"/>
      <c r="U9" s="7"/>
    </row>
    <row r="10" spans="1:21">
      <c r="A10" s="3"/>
      <c r="B10" s="8"/>
      <c r="C10" s="7"/>
      <c r="D10" s="7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4"/>
      <c r="Q10" s="4"/>
      <c r="R10" s="4"/>
      <c r="S10" s="4"/>
      <c r="T10" s="7"/>
      <c r="U10" s="7"/>
    </row>
    <row r="11" spans="1:21" ht="48.75">
      <c r="A11" s="10" t="s">
        <v>3</v>
      </c>
      <c r="B11" s="11" t="s">
        <v>4</v>
      </c>
      <c r="C11" s="12" t="s">
        <v>41</v>
      </c>
      <c r="D11" s="13" t="s">
        <v>42</v>
      </c>
      <c r="E11" s="12" t="s">
        <v>41</v>
      </c>
      <c r="F11" s="12" t="s">
        <v>43</v>
      </c>
      <c r="G11" s="12" t="s">
        <v>44</v>
      </c>
      <c r="H11" s="12" t="s">
        <v>127</v>
      </c>
      <c r="I11" s="12" t="s">
        <v>41</v>
      </c>
      <c r="J11" s="12" t="s">
        <v>100</v>
      </c>
      <c r="K11" s="12" t="s">
        <v>41</v>
      </c>
      <c r="L11" s="12" t="s">
        <v>45</v>
      </c>
      <c r="M11" s="12" t="s">
        <v>44</v>
      </c>
      <c r="N11" s="12" t="s">
        <v>46</v>
      </c>
      <c r="O11" s="12" t="s">
        <v>44</v>
      </c>
      <c r="P11" s="12" t="s">
        <v>47</v>
      </c>
      <c r="Q11" s="12" t="s">
        <v>48</v>
      </c>
      <c r="R11" s="12" t="s">
        <v>49</v>
      </c>
      <c r="S11" s="12" t="s">
        <v>50</v>
      </c>
      <c r="T11" s="12" t="s">
        <v>51</v>
      </c>
      <c r="U11" s="9" t="s">
        <v>52</v>
      </c>
    </row>
    <row r="12" spans="1:21" s="227" customFormat="1">
      <c r="A12" s="229">
        <v>1</v>
      </c>
      <c r="B12" s="230" t="s">
        <v>26</v>
      </c>
      <c r="C12" s="231">
        <v>1</v>
      </c>
      <c r="D12" s="231">
        <v>79637</v>
      </c>
      <c r="E12" s="231">
        <v>1</v>
      </c>
      <c r="F12" s="231">
        <v>83707</v>
      </c>
      <c r="G12" s="231">
        <v>1</v>
      </c>
      <c r="H12" s="231">
        <v>85123</v>
      </c>
      <c r="I12" s="231"/>
      <c r="J12" s="231"/>
      <c r="K12" s="231">
        <v>0.5</v>
      </c>
      <c r="L12" s="231">
        <v>31943</v>
      </c>
      <c r="M12" s="231">
        <v>2</v>
      </c>
      <c r="N12" s="231">
        <v>131312</v>
      </c>
      <c r="O12" s="231"/>
      <c r="P12" s="231"/>
      <c r="Q12" s="232">
        <f>(P12+L12+H12+F12+D12+J12)*0.25</f>
        <v>70102.5</v>
      </c>
      <c r="R12" s="233">
        <f>O12+M12+K12+G12+E12+C12+I12</f>
        <v>5.5</v>
      </c>
      <c r="S12" s="234">
        <f>(Q12+P12+N12+L12+H12+F12+D12+J12)*0.1</f>
        <v>48182.450000000004</v>
      </c>
      <c r="T12" s="234">
        <f>Q12+P12+N12+L12+H12+F12+D12+S12</f>
        <v>530006.94999999995</v>
      </c>
      <c r="U12" s="234">
        <f>(T12*12)/1000</f>
        <v>6360.0833999999995</v>
      </c>
    </row>
    <row r="13" spans="1:21" s="227" customFormat="1" ht="15.75" customHeight="1">
      <c r="A13" s="229">
        <v>2</v>
      </c>
      <c r="B13" s="229" t="s">
        <v>27</v>
      </c>
      <c r="C13" s="231">
        <v>1</v>
      </c>
      <c r="D13" s="231">
        <v>69726</v>
      </c>
      <c r="E13" s="231">
        <v>1</v>
      </c>
      <c r="F13" s="231">
        <v>64594</v>
      </c>
      <c r="G13" s="231">
        <v>1</v>
      </c>
      <c r="H13" s="231">
        <v>82468</v>
      </c>
      <c r="I13" s="231"/>
      <c r="J13" s="231"/>
      <c r="K13" s="231">
        <v>0.5</v>
      </c>
      <c r="L13" s="231">
        <v>37783</v>
      </c>
      <c r="M13" s="231">
        <v>3</v>
      </c>
      <c r="N13" s="231">
        <v>200418</v>
      </c>
      <c r="O13" s="231">
        <v>1</v>
      </c>
      <c r="P13" s="231">
        <v>82468</v>
      </c>
      <c r="Q13" s="232">
        <f t="shared" ref="Q13:Q21" si="0">(P13+L13+H13+F13+D13+J13)*0.25</f>
        <v>84259.75</v>
      </c>
      <c r="R13" s="233">
        <f t="shared" ref="R13:R21" si="1">O13+M13+K13+G13+E13+C13+I13</f>
        <v>7.5</v>
      </c>
      <c r="S13" s="234">
        <f t="shared" ref="S13:S21" si="2">(Q13+P13+N13+L13+H13+F13+D13+J13)*0.1</f>
        <v>62171.675000000003</v>
      </c>
      <c r="T13" s="234">
        <f t="shared" ref="T13" si="3">Q13+P13+N13+L13+H13+F13+D13+S13</f>
        <v>683888.42500000005</v>
      </c>
      <c r="U13" s="234">
        <f t="shared" ref="U13:U21" si="4">(T13*12)/1000</f>
        <v>8206.6611000000012</v>
      </c>
    </row>
    <row r="14" spans="1:21" s="227" customFormat="1">
      <c r="A14" s="229">
        <v>3</v>
      </c>
      <c r="B14" s="229" t="s">
        <v>28</v>
      </c>
      <c r="C14" s="231">
        <v>1</v>
      </c>
      <c r="D14" s="231">
        <v>70788</v>
      </c>
      <c r="E14" s="231">
        <v>1</v>
      </c>
      <c r="F14" s="231">
        <v>75920</v>
      </c>
      <c r="G14" s="231">
        <v>1</v>
      </c>
      <c r="H14" s="231">
        <v>72558</v>
      </c>
      <c r="I14" s="231"/>
      <c r="J14" s="231"/>
      <c r="K14" s="231">
        <v>1</v>
      </c>
      <c r="L14" s="235">
        <v>66895</v>
      </c>
      <c r="M14" s="231">
        <v>1</v>
      </c>
      <c r="N14" s="231">
        <v>139983</v>
      </c>
      <c r="O14" s="231">
        <v>0</v>
      </c>
      <c r="P14" s="231">
        <v>0</v>
      </c>
      <c r="Q14" s="232">
        <f t="shared" si="0"/>
        <v>71540.25</v>
      </c>
      <c r="R14" s="233">
        <f t="shared" si="1"/>
        <v>5</v>
      </c>
      <c r="S14" s="234">
        <f t="shared" si="2"/>
        <v>49768.425000000003</v>
      </c>
      <c r="T14" s="234">
        <f t="shared" ref="T14:T17" si="5">Q14+P14+N14+L14+H14+F14+D14+S14+J14</f>
        <v>547452.67500000005</v>
      </c>
      <c r="U14" s="234">
        <f t="shared" si="4"/>
        <v>6569.4321000000009</v>
      </c>
    </row>
    <row r="15" spans="1:21" s="227" customFormat="1">
      <c r="A15" s="229">
        <v>4</v>
      </c>
      <c r="B15" s="229" t="s">
        <v>29</v>
      </c>
      <c r="C15" s="231">
        <v>1.5</v>
      </c>
      <c r="D15" s="231">
        <v>108660</v>
      </c>
      <c r="E15" s="231">
        <v>1</v>
      </c>
      <c r="F15" s="231">
        <v>88308</v>
      </c>
      <c r="G15" s="231">
        <v>1.5</v>
      </c>
      <c r="H15" s="231">
        <v>117508</v>
      </c>
      <c r="I15" s="231"/>
      <c r="J15" s="231"/>
      <c r="K15" s="231">
        <v>1</v>
      </c>
      <c r="L15" s="231">
        <v>68133</v>
      </c>
      <c r="M15" s="231">
        <v>3.49</v>
      </c>
      <c r="N15" s="231">
        <v>224797</v>
      </c>
      <c r="O15" s="231">
        <v>1</v>
      </c>
      <c r="P15" s="231">
        <v>64417</v>
      </c>
      <c r="Q15" s="232">
        <f>(P15+L15+H15+F15+D15+J15)*0.25</f>
        <v>111756.5</v>
      </c>
      <c r="R15" s="233">
        <f t="shared" si="1"/>
        <v>9.49</v>
      </c>
      <c r="S15" s="234">
        <f t="shared" si="2"/>
        <v>78357.95</v>
      </c>
      <c r="T15" s="234">
        <f t="shared" si="5"/>
        <v>861937.45</v>
      </c>
      <c r="U15" s="234">
        <f t="shared" si="4"/>
        <v>10343.249399999999</v>
      </c>
    </row>
    <row r="16" spans="1:21" s="227" customFormat="1">
      <c r="A16" s="229">
        <v>5</v>
      </c>
      <c r="B16" s="229" t="s">
        <v>30</v>
      </c>
      <c r="C16" s="231">
        <v>1</v>
      </c>
      <c r="D16" s="231">
        <v>70788</v>
      </c>
      <c r="E16" s="231">
        <v>0.5</v>
      </c>
      <c r="F16" s="231">
        <v>33005</v>
      </c>
      <c r="G16" s="231">
        <v>0.5</v>
      </c>
      <c r="H16" s="231">
        <v>31147</v>
      </c>
      <c r="I16" s="231"/>
      <c r="J16" s="231"/>
      <c r="K16" s="231">
        <v>0.5</v>
      </c>
      <c r="L16" s="231">
        <v>31678</v>
      </c>
      <c r="M16" s="231">
        <v>0.5</v>
      </c>
      <c r="N16" s="231">
        <v>29377</v>
      </c>
      <c r="O16" s="231"/>
      <c r="P16" s="231"/>
      <c r="Q16" s="232">
        <f t="shared" si="0"/>
        <v>41654.5</v>
      </c>
      <c r="R16" s="233">
        <f t="shared" si="1"/>
        <v>3</v>
      </c>
      <c r="S16" s="234">
        <f t="shared" si="2"/>
        <v>23764.95</v>
      </c>
      <c r="T16" s="234">
        <f t="shared" si="5"/>
        <v>261414.45</v>
      </c>
      <c r="U16" s="234">
        <f t="shared" si="4"/>
        <v>3136.9734000000003</v>
      </c>
    </row>
    <row r="17" spans="1:21" s="227" customFormat="1">
      <c r="A17" s="229">
        <v>6</v>
      </c>
      <c r="B17" s="229" t="s">
        <v>31</v>
      </c>
      <c r="C17" s="231">
        <v>1</v>
      </c>
      <c r="D17" s="231">
        <v>84061</v>
      </c>
      <c r="E17" s="231">
        <v>1</v>
      </c>
      <c r="F17" s="231">
        <v>83707</v>
      </c>
      <c r="G17" s="231">
        <v>0.5</v>
      </c>
      <c r="H17" s="231">
        <v>41234</v>
      </c>
      <c r="I17" s="231"/>
      <c r="J17" s="231"/>
      <c r="K17" s="231">
        <v>0.5</v>
      </c>
      <c r="L17" s="235">
        <v>29731</v>
      </c>
      <c r="M17" s="231">
        <v>1</v>
      </c>
      <c r="N17" s="231">
        <v>65656</v>
      </c>
      <c r="O17" s="231"/>
      <c r="P17" s="231"/>
      <c r="Q17" s="232">
        <f t="shared" si="0"/>
        <v>59683.25</v>
      </c>
      <c r="R17" s="233">
        <f t="shared" si="1"/>
        <v>4</v>
      </c>
      <c r="S17" s="234">
        <f t="shared" si="2"/>
        <v>36407.224999999999</v>
      </c>
      <c r="T17" s="234">
        <f t="shared" si="5"/>
        <v>400479.47499999998</v>
      </c>
      <c r="U17" s="234">
        <f t="shared" si="4"/>
        <v>4805.7536999999993</v>
      </c>
    </row>
    <row r="18" spans="1:21" s="227" customFormat="1">
      <c r="A18" s="229">
        <v>7</v>
      </c>
      <c r="B18" s="229" t="s">
        <v>32</v>
      </c>
      <c r="C18" s="231">
        <v>1</v>
      </c>
      <c r="D18" s="231">
        <v>78398</v>
      </c>
      <c r="E18" s="231">
        <v>1</v>
      </c>
      <c r="F18" s="231">
        <v>82468</v>
      </c>
      <c r="G18" s="231">
        <v>1</v>
      </c>
      <c r="H18" s="231">
        <v>72558</v>
      </c>
      <c r="I18" s="231">
        <v>0.5</v>
      </c>
      <c r="J18" s="231">
        <v>46012</v>
      </c>
      <c r="K18" s="231">
        <v>0.5</v>
      </c>
      <c r="L18" s="231">
        <v>32828</v>
      </c>
      <c r="M18" s="231">
        <v>2.5</v>
      </c>
      <c r="N18" s="231">
        <v>155026</v>
      </c>
      <c r="O18" s="231"/>
      <c r="P18" s="231"/>
      <c r="Q18" s="232">
        <f t="shared" si="0"/>
        <v>78066</v>
      </c>
      <c r="R18" s="233">
        <f t="shared" si="1"/>
        <v>6.5</v>
      </c>
      <c r="S18" s="234">
        <f t="shared" si="2"/>
        <v>54535.600000000006</v>
      </c>
      <c r="T18" s="234">
        <f>Q18+P18+N18+L18+H18+F18+D18+S18+J18</f>
        <v>599891.6</v>
      </c>
      <c r="U18" s="234">
        <f t="shared" si="4"/>
        <v>7198.6991999999991</v>
      </c>
    </row>
    <row r="19" spans="1:21" s="227" customFormat="1">
      <c r="A19" s="229">
        <v>8</v>
      </c>
      <c r="B19" s="229" t="s">
        <v>33</v>
      </c>
      <c r="C19" s="231">
        <v>1</v>
      </c>
      <c r="D19" s="231">
        <v>71142</v>
      </c>
      <c r="E19" s="231">
        <v>0.5</v>
      </c>
      <c r="F19" s="231">
        <v>31058</v>
      </c>
      <c r="G19" s="231">
        <v>0.5</v>
      </c>
      <c r="H19" s="231">
        <v>36279</v>
      </c>
      <c r="I19" s="231"/>
      <c r="J19" s="231"/>
      <c r="K19" s="231">
        <v>0.5</v>
      </c>
      <c r="L19" s="231">
        <v>34067</v>
      </c>
      <c r="M19" s="231">
        <v>1</v>
      </c>
      <c r="N19" s="231">
        <v>64594</v>
      </c>
      <c r="O19" s="231"/>
      <c r="P19" s="231"/>
      <c r="Q19" s="232">
        <f t="shared" si="0"/>
        <v>43136.5</v>
      </c>
      <c r="R19" s="233">
        <f t="shared" si="1"/>
        <v>3.5</v>
      </c>
      <c r="S19" s="234">
        <f t="shared" si="2"/>
        <v>28027.65</v>
      </c>
      <c r="T19" s="234">
        <f t="shared" ref="T19:T21" si="6">Q19+P19+N19+L19+H19+F19+D19+S19+J19</f>
        <v>308304.15000000002</v>
      </c>
      <c r="U19" s="234">
        <f t="shared" si="4"/>
        <v>3699.6498000000001</v>
      </c>
    </row>
    <row r="20" spans="1:21" s="227" customFormat="1">
      <c r="A20" s="229">
        <v>9</v>
      </c>
      <c r="B20" s="229" t="s">
        <v>34</v>
      </c>
      <c r="C20" s="231">
        <v>1</v>
      </c>
      <c r="D20" s="231">
        <v>78575</v>
      </c>
      <c r="E20" s="231">
        <v>1</v>
      </c>
      <c r="F20" s="231">
        <v>72558</v>
      </c>
      <c r="G20" s="231">
        <v>0.5</v>
      </c>
      <c r="H20" s="231">
        <v>37783</v>
      </c>
      <c r="I20" s="231"/>
      <c r="J20" s="231"/>
      <c r="K20" s="231">
        <v>0.5</v>
      </c>
      <c r="L20" s="231">
        <v>31235</v>
      </c>
      <c r="M20" s="231">
        <v>1</v>
      </c>
      <c r="N20" s="231">
        <v>66629</v>
      </c>
      <c r="O20" s="231"/>
      <c r="P20" s="231"/>
      <c r="Q20" s="232">
        <f t="shared" si="0"/>
        <v>55037.75</v>
      </c>
      <c r="R20" s="233">
        <f t="shared" si="1"/>
        <v>4</v>
      </c>
      <c r="S20" s="234">
        <f t="shared" si="2"/>
        <v>34181.775000000001</v>
      </c>
      <c r="T20" s="234">
        <f t="shared" si="6"/>
        <v>375999.52500000002</v>
      </c>
      <c r="U20" s="234">
        <f t="shared" si="4"/>
        <v>4511.9943000000003</v>
      </c>
    </row>
    <row r="21" spans="1:21" s="227" customFormat="1">
      <c r="A21" s="229">
        <v>10</v>
      </c>
      <c r="B21" s="229" t="s">
        <v>35</v>
      </c>
      <c r="C21" s="231">
        <v>1</v>
      </c>
      <c r="D21" s="231">
        <v>63886</v>
      </c>
      <c r="E21" s="231">
        <v>1</v>
      </c>
      <c r="F21" s="231">
        <v>61055</v>
      </c>
      <c r="G21" s="231">
        <v>1</v>
      </c>
      <c r="H21" s="231">
        <v>70788</v>
      </c>
      <c r="I21" s="231"/>
      <c r="J21" s="231"/>
      <c r="K21" s="231">
        <v>1</v>
      </c>
      <c r="L21" s="231">
        <v>62825</v>
      </c>
      <c r="M21" s="231">
        <v>3</v>
      </c>
      <c r="N21" s="231">
        <v>198117</v>
      </c>
      <c r="O21" s="231">
        <v>1</v>
      </c>
      <c r="P21" s="231">
        <v>62293</v>
      </c>
      <c r="Q21" s="232">
        <f t="shared" si="0"/>
        <v>80211.75</v>
      </c>
      <c r="R21" s="233">
        <f t="shared" si="1"/>
        <v>8</v>
      </c>
      <c r="S21" s="234">
        <f t="shared" si="2"/>
        <v>59917.575000000004</v>
      </c>
      <c r="T21" s="234">
        <f t="shared" si="6"/>
        <v>659093.32499999995</v>
      </c>
      <c r="U21" s="234">
        <f t="shared" si="4"/>
        <v>7909.1198999999997</v>
      </c>
    </row>
    <row r="22" spans="1:21">
      <c r="A22" s="19"/>
      <c r="B22" s="19" t="s">
        <v>36</v>
      </c>
      <c r="C22" s="20">
        <f>SUM(C12:C21)</f>
        <v>10.5</v>
      </c>
      <c r="D22" s="20">
        <f t="shared" ref="D22:P22" si="7">SUM(D12:D21)</f>
        <v>775661</v>
      </c>
      <c r="E22" s="20">
        <f t="shared" si="7"/>
        <v>9</v>
      </c>
      <c r="F22" s="20">
        <f t="shared" si="7"/>
        <v>676380</v>
      </c>
      <c r="G22" s="20">
        <f>SUM(G12:G21)</f>
        <v>8.5</v>
      </c>
      <c r="H22" s="20">
        <f t="shared" si="7"/>
        <v>647446</v>
      </c>
      <c r="I22" s="20">
        <f>SUM(I12:I21)</f>
        <v>0.5</v>
      </c>
      <c r="J22" s="20">
        <f>SUM(J12:J21)</f>
        <v>46012</v>
      </c>
      <c r="K22" s="20">
        <f>SUM(K12:K21)</f>
        <v>6.5</v>
      </c>
      <c r="L22" s="20">
        <f t="shared" si="7"/>
        <v>427118</v>
      </c>
      <c r="M22" s="20">
        <f>SUM(M12:M21)</f>
        <v>18.490000000000002</v>
      </c>
      <c r="N22" s="20">
        <f t="shared" si="7"/>
        <v>1275909</v>
      </c>
      <c r="O22" s="20">
        <f>O21+O20+O19+O18+O17+O16+O15+O14+O13+O12</f>
        <v>3</v>
      </c>
      <c r="P22" s="20">
        <f t="shared" si="7"/>
        <v>209178</v>
      </c>
      <c r="Q22" s="16">
        <f>SUM(Q12:Q21)</f>
        <v>695448.75</v>
      </c>
      <c r="R22" s="17">
        <f>SUM(R12:R21)</f>
        <v>56.49</v>
      </c>
      <c r="S22" s="18">
        <f>SUM(S12:S21)</f>
        <v>475315.27500000008</v>
      </c>
      <c r="T22" s="18">
        <f>SUM(T12:T21)</f>
        <v>5228468.0250000004</v>
      </c>
      <c r="U22" s="18">
        <f>SUM(U12:U21)</f>
        <v>62741.616299999994</v>
      </c>
    </row>
    <row r="23" spans="1:21">
      <c r="C23" s="14"/>
      <c r="D23" s="14"/>
      <c r="E23" s="288"/>
      <c r="F23" s="288"/>
      <c r="G23" s="288"/>
      <c r="H23" s="288"/>
      <c r="I23" s="288"/>
      <c r="J23" s="288"/>
      <c r="K23" s="288"/>
      <c r="L23" s="288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E24" s="4" t="s">
        <v>37</v>
      </c>
      <c r="F24" s="4"/>
      <c r="G24" s="4"/>
      <c r="N24" s="15" t="s">
        <v>38</v>
      </c>
      <c r="O24" s="15"/>
    </row>
    <row r="25" spans="1:21">
      <c r="E25" s="4"/>
      <c r="F25" s="4"/>
      <c r="G25" s="4"/>
      <c r="N25" s="15"/>
      <c r="O25" s="15"/>
    </row>
    <row r="26" spans="1:21">
      <c r="E26" s="4" t="s">
        <v>39</v>
      </c>
      <c r="F26" s="4"/>
      <c r="G26" s="4"/>
      <c r="N26" s="15" t="s">
        <v>99</v>
      </c>
      <c r="O26" s="15"/>
    </row>
  </sheetData>
  <mergeCells count="4">
    <mergeCell ref="B8:N8"/>
    <mergeCell ref="E9:O9"/>
    <mergeCell ref="E10:O10"/>
    <mergeCell ref="E23:L23"/>
  </mergeCells>
  <pageMargins left="0.70866141732283472" right="0.5118110236220472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P27"/>
  <sheetViews>
    <sheetView view="pageBreakPreview" zoomScale="93" zoomScaleSheetLayoutView="93" workbookViewId="0">
      <selection activeCell="G13" sqref="G13"/>
    </sheetView>
  </sheetViews>
  <sheetFormatPr defaultRowHeight="15"/>
  <cols>
    <col min="3" max="3" width="20.140625" customWidth="1"/>
    <col min="4" max="4" width="7.140625" customWidth="1"/>
    <col min="6" max="6" width="7.28515625" customWidth="1"/>
    <col min="9" max="10" width="7.5703125" customWidth="1"/>
    <col min="11" max="11" width="9.42578125" bestFit="1" customWidth="1"/>
    <col min="12" max="12" width="10.42578125" bestFit="1" customWidth="1"/>
    <col min="13" max="13" width="9.5703125" customWidth="1"/>
  </cols>
  <sheetData>
    <row r="1" spans="2:16">
      <c r="G1" s="143"/>
      <c r="H1" s="143"/>
      <c r="I1" s="143"/>
      <c r="J1" s="143"/>
      <c r="K1" s="143"/>
      <c r="L1" s="143"/>
      <c r="M1" s="143"/>
      <c r="N1" s="143"/>
    </row>
    <row r="2" spans="2:16">
      <c r="G2" s="62" t="s">
        <v>40</v>
      </c>
      <c r="H2" s="143"/>
      <c r="I2" s="143"/>
      <c r="J2" s="143"/>
      <c r="K2" s="143"/>
      <c r="L2" s="143"/>
      <c r="M2" s="62"/>
      <c r="N2" s="143"/>
    </row>
    <row r="3" spans="2:16">
      <c r="C3" s="29"/>
      <c r="G3" s="3" t="s">
        <v>118</v>
      </c>
      <c r="H3" s="143"/>
      <c r="I3" s="3"/>
      <c r="J3" s="3"/>
      <c r="K3" s="3"/>
      <c r="L3" s="143"/>
      <c r="M3" s="3"/>
      <c r="N3" s="199"/>
    </row>
    <row r="4" spans="2:16">
      <c r="C4" s="30"/>
      <c r="G4" s="154" t="s">
        <v>151</v>
      </c>
      <c r="H4" s="143"/>
      <c r="I4" s="154"/>
      <c r="J4" s="154"/>
      <c r="K4" s="154"/>
      <c r="L4" s="143"/>
      <c r="M4" s="154"/>
      <c r="N4" s="199"/>
    </row>
    <row r="5" spans="2:16">
      <c r="C5" s="31"/>
      <c r="G5" s="3" t="s">
        <v>98</v>
      </c>
      <c r="H5" s="143"/>
      <c r="I5" s="3"/>
      <c r="J5" s="3"/>
      <c r="K5" s="3"/>
      <c r="L5" s="200"/>
      <c r="M5" s="200"/>
      <c r="N5" s="118"/>
      <c r="O5" s="52"/>
      <c r="P5" s="52"/>
    </row>
    <row r="6" spans="2:16">
      <c r="C6" s="31"/>
      <c r="G6" s="3" t="s">
        <v>53</v>
      </c>
      <c r="H6" s="143"/>
      <c r="I6" s="3"/>
      <c r="J6" s="3"/>
      <c r="K6" s="3"/>
      <c r="L6" s="143"/>
      <c r="M6" s="3"/>
      <c r="N6" s="199"/>
    </row>
    <row r="7" spans="2:16">
      <c r="C7" s="32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2:16" ht="18">
      <c r="C8" s="33" t="s">
        <v>54</v>
      </c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2:16" ht="18">
      <c r="C9" s="32"/>
      <c r="D9" s="292" t="s">
        <v>128</v>
      </c>
      <c r="E9" s="292"/>
      <c r="F9" s="292"/>
      <c r="G9" s="292"/>
      <c r="H9" s="292"/>
      <c r="I9" s="292"/>
      <c r="J9" s="292"/>
      <c r="K9" s="292"/>
      <c r="L9" s="34"/>
      <c r="M9" s="34"/>
    </row>
    <row r="10" spans="2:16" ht="18">
      <c r="C10" s="32"/>
      <c r="D10" s="23"/>
      <c r="E10" s="35"/>
      <c r="F10" s="35"/>
      <c r="G10" s="35"/>
      <c r="H10" s="35"/>
      <c r="I10" s="35"/>
      <c r="J10" s="220"/>
      <c r="K10" s="35"/>
      <c r="L10" s="35"/>
      <c r="M10" s="35"/>
    </row>
    <row r="11" spans="2:16" ht="36.75">
      <c r="B11" s="36" t="s">
        <v>3</v>
      </c>
      <c r="C11" s="37" t="s">
        <v>4</v>
      </c>
      <c r="D11" s="38" t="s">
        <v>44</v>
      </c>
      <c r="E11" s="39" t="s">
        <v>55</v>
      </c>
      <c r="F11" s="39" t="s">
        <v>44</v>
      </c>
      <c r="G11" s="39" t="s">
        <v>56</v>
      </c>
      <c r="H11" s="40" t="s">
        <v>48</v>
      </c>
      <c r="I11" s="40" t="s">
        <v>49</v>
      </c>
      <c r="J11" s="40" t="s">
        <v>139</v>
      </c>
      <c r="K11" s="41" t="s">
        <v>57</v>
      </c>
      <c r="L11" s="40" t="s">
        <v>58</v>
      </c>
      <c r="M11" s="40" t="s">
        <v>59</v>
      </c>
      <c r="N11" s="42"/>
      <c r="O11" s="42"/>
      <c r="P11" s="42"/>
    </row>
    <row r="12" spans="2:16" s="227" customFormat="1" ht="17.25" customHeight="1">
      <c r="B12" s="237">
        <v>1</v>
      </c>
      <c r="C12" s="238" t="s">
        <v>26</v>
      </c>
      <c r="D12" s="239">
        <v>1</v>
      </c>
      <c r="E12" s="240">
        <v>54684</v>
      </c>
      <c r="F12" s="240"/>
      <c r="G12" s="240"/>
      <c r="H12" s="241">
        <f t="shared" ref="H12:H21" si="0">(E12+G12)*25%</f>
        <v>13671</v>
      </c>
      <c r="I12" s="242">
        <f t="shared" ref="I12:I21" si="1">D12+F12</f>
        <v>1</v>
      </c>
      <c r="J12" s="242"/>
      <c r="K12" s="243">
        <f>(E12+G12+H12)*0.1</f>
        <v>6835.5</v>
      </c>
      <c r="L12" s="241">
        <f>H12+G12+E12+K12+J12</f>
        <v>75190.5</v>
      </c>
      <c r="M12" s="241">
        <f>(L12*12)/1000</f>
        <v>902.28599999999994</v>
      </c>
    </row>
    <row r="13" spans="2:16" s="227" customFormat="1">
      <c r="B13" s="237">
        <v>2</v>
      </c>
      <c r="C13" s="237" t="s">
        <v>27</v>
      </c>
      <c r="D13" s="239">
        <v>1</v>
      </c>
      <c r="E13" s="240">
        <v>41411</v>
      </c>
      <c r="F13" s="240">
        <v>1</v>
      </c>
      <c r="G13" s="240">
        <v>55569</v>
      </c>
      <c r="H13" s="241">
        <f t="shared" si="0"/>
        <v>24245</v>
      </c>
      <c r="I13" s="242">
        <f t="shared" si="1"/>
        <v>2</v>
      </c>
      <c r="J13" s="242"/>
      <c r="K13" s="243">
        <f t="shared" ref="K13:K21" si="2">(E13+G13+H13)*0.1</f>
        <v>12122.5</v>
      </c>
      <c r="L13" s="241">
        <f t="shared" ref="L13:L21" si="3">H13+G13+E13+K13+J13</f>
        <v>133347.5</v>
      </c>
      <c r="M13" s="241">
        <f t="shared" ref="M13:M21" si="4">(L13*12)/1000</f>
        <v>1600.17</v>
      </c>
    </row>
    <row r="14" spans="2:16" s="227" customFormat="1">
      <c r="B14" s="237">
        <v>3</v>
      </c>
      <c r="C14" s="237" t="s">
        <v>28</v>
      </c>
      <c r="D14" s="239">
        <v>1</v>
      </c>
      <c r="E14" s="240">
        <v>42119</v>
      </c>
      <c r="F14" s="244">
        <v>0</v>
      </c>
      <c r="G14" s="240">
        <v>0</v>
      </c>
      <c r="H14" s="241">
        <f t="shared" si="0"/>
        <v>10529.75</v>
      </c>
      <c r="I14" s="242">
        <f t="shared" si="1"/>
        <v>1</v>
      </c>
      <c r="J14" s="242"/>
      <c r="K14" s="243">
        <f t="shared" si="2"/>
        <v>5264.875</v>
      </c>
      <c r="L14" s="241">
        <f t="shared" si="3"/>
        <v>57913.625</v>
      </c>
      <c r="M14" s="241">
        <f t="shared" si="4"/>
        <v>694.96349999999995</v>
      </c>
    </row>
    <row r="15" spans="2:16" s="227" customFormat="1">
      <c r="B15" s="237">
        <v>4</v>
      </c>
      <c r="C15" s="237" t="s">
        <v>29</v>
      </c>
      <c r="D15" s="239">
        <v>3</v>
      </c>
      <c r="E15" s="240">
        <v>193960</v>
      </c>
      <c r="F15" s="244">
        <v>2</v>
      </c>
      <c r="G15" s="240">
        <v>104944</v>
      </c>
      <c r="H15" s="241">
        <f>(E15+G15)*25%</f>
        <v>74726</v>
      </c>
      <c r="I15" s="242">
        <f t="shared" si="1"/>
        <v>5</v>
      </c>
      <c r="J15" s="242">
        <v>21237</v>
      </c>
      <c r="K15" s="243">
        <f t="shared" si="2"/>
        <v>37363</v>
      </c>
      <c r="L15" s="241">
        <f t="shared" si="3"/>
        <v>432230</v>
      </c>
      <c r="M15" s="241">
        <f t="shared" si="4"/>
        <v>5186.76</v>
      </c>
    </row>
    <row r="16" spans="2:16" s="227" customFormat="1">
      <c r="B16" s="237">
        <v>5</v>
      </c>
      <c r="C16" s="237" t="s">
        <v>30</v>
      </c>
      <c r="D16" s="239">
        <v>1</v>
      </c>
      <c r="E16" s="240">
        <v>43004</v>
      </c>
      <c r="F16" s="240">
        <v>1</v>
      </c>
      <c r="G16" s="240">
        <v>49021</v>
      </c>
      <c r="H16" s="241">
        <f t="shared" si="0"/>
        <v>23006.25</v>
      </c>
      <c r="I16" s="242">
        <f t="shared" si="1"/>
        <v>2</v>
      </c>
      <c r="J16" s="242"/>
      <c r="K16" s="243">
        <f t="shared" si="2"/>
        <v>11503.125</v>
      </c>
      <c r="L16" s="241">
        <f t="shared" si="3"/>
        <v>126534.375</v>
      </c>
      <c r="M16" s="241">
        <f t="shared" si="4"/>
        <v>1518.4124999999999</v>
      </c>
    </row>
    <row r="17" spans="2:16" s="227" customFormat="1">
      <c r="B17" s="237">
        <v>6</v>
      </c>
      <c r="C17" s="237" t="s">
        <v>31</v>
      </c>
      <c r="D17" s="239">
        <v>1</v>
      </c>
      <c r="E17" s="240">
        <v>43004</v>
      </c>
      <c r="F17" s="240">
        <v>2</v>
      </c>
      <c r="G17" s="240">
        <v>107244</v>
      </c>
      <c r="H17" s="241">
        <f t="shared" si="0"/>
        <v>37562</v>
      </c>
      <c r="I17" s="242">
        <f t="shared" si="1"/>
        <v>3</v>
      </c>
      <c r="J17" s="242"/>
      <c r="K17" s="243">
        <f t="shared" si="2"/>
        <v>18781</v>
      </c>
      <c r="L17" s="241">
        <f t="shared" si="3"/>
        <v>206591</v>
      </c>
      <c r="M17" s="241">
        <f t="shared" si="4"/>
        <v>2479.0920000000001</v>
      </c>
    </row>
    <row r="18" spans="2:16" s="227" customFormat="1">
      <c r="B18" s="237">
        <v>7</v>
      </c>
      <c r="C18" s="237" t="s">
        <v>32</v>
      </c>
      <c r="D18" s="239">
        <v>2</v>
      </c>
      <c r="E18" s="245">
        <v>115384</v>
      </c>
      <c r="F18" s="240">
        <v>4</v>
      </c>
      <c r="G18" s="245">
        <v>166352</v>
      </c>
      <c r="H18" s="241">
        <f t="shared" si="0"/>
        <v>70434</v>
      </c>
      <c r="I18" s="242">
        <f t="shared" si="1"/>
        <v>6</v>
      </c>
      <c r="J18" s="242"/>
      <c r="K18" s="243">
        <f t="shared" si="2"/>
        <v>35217</v>
      </c>
      <c r="L18" s="241">
        <f t="shared" si="3"/>
        <v>387387</v>
      </c>
      <c r="M18" s="241">
        <f t="shared" si="4"/>
        <v>4648.6440000000002</v>
      </c>
    </row>
    <row r="19" spans="2:16" s="227" customFormat="1">
      <c r="B19" s="237">
        <v>8</v>
      </c>
      <c r="C19" s="237" t="s">
        <v>33</v>
      </c>
      <c r="D19" s="239">
        <v>1</v>
      </c>
      <c r="E19" s="240">
        <v>64240</v>
      </c>
      <c r="F19" s="240"/>
      <c r="G19" s="240"/>
      <c r="H19" s="241">
        <f t="shared" si="0"/>
        <v>16060</v>
      </c>
      <c r="I19" s="242">
        <f t="shared" si="1"/>
        <v>1</v>
      </c>
      <c r="J19" s="242"/>
      <c r="K19" s="243">
        <f t="shared" si="2"/>
        <v>8030</v>
      </c>
      <c r="L19" s="241">
        <f t="shared" si="3"/>
        <v>88330</v>
      </c>
      <c r="M19" s="241">
        <f t="shared" si="4"/>
        <v>1059.96</v>
      </c>
    </row>
    <row r="20" spans="2:16" s="227" customFormat="1">
      <c r="B20" s="237">
        <v>9</v>
      </c>
      <c r="C20" s="237" t="s">
        <v>34</v>
      </c>
      <c r="D20" s="239">
        <v>1</v>
      </c>
      <c r="E20" s="240">
        <v>69372</v>
      </c>
      <c r="F20" s="240"/>
      <c r="G20" s="240"/>
      <c r="H20" s="241">
        <f t="shared" si="0"/>
        <v>17343</v>
      </c>
      <c r="I20" s="242">
        <f t="shared" si="1"/>
        <v>1</v>
      </c>
      <c r="J20" s="242">
        <v>7079</v>
      </c>
      <c r="K20" s="243">
        <f>(E20+G20+H20)*0.1</f>
        <v>8671.5</v>
      </c>
      <c r="L20" s="241">
        <f t="shared" si="3"/>
        <v>102465.5</v>
      </c>
      <c r="M20" s="241">
        <f t="shared" si="4"/>
        <v>1229.586</v>
      </c>
    </row>
    <row r="21" spans="2:16" s="227" customFormat="1">
      <c r="B21" s="237">
        <v>10</v>
      </c>
      <c r="C21" s="237" t="s">
        <v>35</v>
      </c>
      <c r="D21" s="239">
        <v>2</v>
      </c>
      <c r="E21" s="240">
        <v>102111</v>
      </c>
      <c r="F21" s="240">
        <v>0</v>
      </c>
      <c r="G21" s="240">
        <v>0</v>
      </c>
      <c r="H21" s="241">
        <f t="shared" si="0"/>
        <v>25527.75</v>
      </c>
      <c r="I21" s="242">
        <f t="shared" si="1"/>
        <v>2</v>
      </c>
      <c r="J21" s="242"/>
      <c r="K21" s="243">
        <f t="shared" si="2"/>
        <v>12763.875</v>
      </c>
      <c r="L21" s="241">
        <f t="shared" si="3"/>
        <v>140402.625</v>
      </c>
      <c r="M21" s="241">
        <f t="shared" si="4"/>
        <v>1684.8315</v>
      </c>
    </row>
    <row r="22" spans="2:16">
      <c r="B22" s="43"/>
      <c r="C22" s="53" t="s">
        <v>36</v>
      </c>
      <c r="D22" s="55">
        <f>SUM(D12:D21)</f>
        <v>14</v>
      </c>
      <c r="E22" s="55">
        <f t="shared" ref="E22:M22" si="5">SUM(E12:E21)</f>
        <v>769289</v>
      </c>
      <c r="F22" s="55">
        <f t="shared" si="5"/>
        <v>10</v>
      </c>
      <c r="G22" s="55">
        <f t="shared" si="5"/>
        <v>483130</v>
      </c>
      <c r="H22" s="55">
        <f t="shared" si="5"/>
        <v>313104.75</v>
      </c>
      <c r="I22" s="55">
        <f t="shared" si="5"/>
        <v>24</v>
      </c>
      <c r="J22" s="55">
        <f t="shared" si="5"/>
        <v>28316</v>
      </c>
      <c r="K22" s="246">
        <f t="shared" si="5"/>
        <v>156552.375</v>
      </c>
      <c r="L22" s="246">
        <f t="shared" si="5"/>
        <v>1750392.125</v>
      </c>
      <c r="M22" s="246">
        <f t="shared" si="5"/>
        <v>21004.7055</v>
      </c>
      <c r="N22" s="42"/>
      <c r="O22" s="42"/>
      <c r="P22" s="22"/>
    </row>
    <row r="23" spans="2:16">
      <c r="D23" s="46"/>
      <c r="E23" s="46"/>
      <c r="F23" s="46"/>
      <c r="G23" s="46"/>
      <c r="H23" s="47"/>
      <c r="I23" s="49"/>
      <c r="J23" s="49"/>
      <c r="K23" s="49"/>
      <c r="L23" s="48"/>
      <c r="M23" s="49"/>
    </row>
    <row r="24" spans="2:16">
      <c r="D24" s="50"/>
      <c r="E24" s="50"/>
      <c r="I24" s="51"/>
      <c r="J24" s="51"/>
      <c r="K24" s="51"/>
    </row>
    <row r="25" spans="2:16">
      <c r="B25" s="42"/>
      <c r="C25" s="138" t="s">
        <v>37</v>
      </c>
      <c r="D25" s="138"/>
      <c r="E25" s="138"/>
      <c r="F25" s="138"/>
      <c r="G25" s="139"/>
      <c r="H25" s="140"/>
      <c r="I25" s="140" t="s">
        <v>38</v>
      </c>
      <c r="J25" s="140"/>
      <c r="K25" s="140"/>
      <c r="L25" s="24"/>
      <c r="M25" s="25"/>
      <c r="N25" s="42"/>
      <c r="O25" s="42"/>
      <c r="P25" s="42"/>
    </row>
    <row r="26" spans="2:16" ht="15.75">
      <c r="C26" s="1"/>
      <c r="D26" s="1"/>
      <c r="E26" s="196"/>
      <c r="F26" s="1"/>
      <c r="G26" s="197"/>
      <c r="H26" s="197"/>
      <c r="I26" s="197"/>
      <c r="J26" s="197"/>
      <c r="K26" s="197"/>
      <c r="L26" s="21"/>
      <c r="M26" s="26"/>
    </row>
    <row r="27" spans="2:16" ht="15.75">
      <c r="C27" s="142" t="s">
        <v>39</v>
      </c>
      <c r="D27" s="142"/>
      <c r="E27" s="137"/>
      <c r="F27" s="142"/>
      <c r="G27" s="198"/>
      <c r="H27" s="198"/>
      <c r="I27" s="140" t="s">
        <v>99</v>
      </c>
      <c r="J27" s="140"/>
      <c r="K27" s="198"/>
      <c r="L27" s="27"/>
      <c r="M27" s="28"/>
    </row>
  </sheetData>
  <mergeCells count="1">
    <mergeCell ref="D9:K9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P27"/>
  <sheetViews>
    <sheetView view="pageBreakPreview" zoomScale="93" zoomScaleSheetLayoutView="93" workbookViewId="0">
      <selection activeCell="I10" sqref="I10"/>
    </sheetView>
  </sheetViews>
  <sheetFormatPr defaultRowHeight="15"/>
  <cols>
    <col min="3" max="3" width="20.140625" customWidth="1"/>
    <col min="4" max="4" width="7.140625" customWidth="1"/>
    <col min="6" max="6" width="7.28515625" customWidth="1"/>
    <col min="9" max="10" width="7.5703125" customWidth="1"/>
  </cols>
  <sheetData>
    <row r="1" spans="2:16">
      <c r="G1" s="143"/>
      <c r="H1" s="143"/>
      <c r="I1" s="143"/>
      <c r="J1" s="143"/>
      <c r="K1" s="143"/>
      <c r="L1" s="143"/>
      <c r="M1" s="143"/>
      <c r="N1" s="143"/>
    </row>
    <row r="2" spans="2:16">
      <c r="G2" s="62" t="s">
        <v>40</v>
      </c>
      <c r="H2" s="143"/>
      <c r="I2" s="143"/>
      <c r="J2" s="143"/>
      <c r="K2" s="143"/>
      <c r="L2" s="143"/>
      <c r="M2" s="62"/>
      <c r="N2" s="143"/>
    </row>
    <row r="3" spans="2:16">
      <c r="C3" s="29"/>
      <c r="G3" s="3" t="s">
        <v>118</v>
      </c>
      <c r="H3" s="143"/>
      <c r="I3" s="3"/>
      <c r="J3" s="3"/>
      <c r="K3" s="3"/>
      <c r="L3" s="143"/>
      <c r="M3" s="3"/>
      <c r="N3" s="199"/>
    </row>
    <row r="4" spans="2:16">
      <c r="C4" s="30"/>
      <c r="G4" s="154" t="s">
        <v>152</v>
      </c>
      <c r="H4" s="143"/>
      <c r="I4" s="154"/>
      <c r="J4" s="154"/>
      <c r="K4" s="154"/>
      <c r="L4" s="143"/>
      <c r="M4" s="154"/>
      <c r="N4" s="199"/>
    </row>
    <row r="5" spans="2:16">
      <c r="C5" s="31"/>
      <c r="G5" s="3" t="s">
        <v>98</v>
      </c>
      <c r="H5" s="143"/>
      <c r="I5" s="3"/>
      <c r="J5" s="3"/>
      <c r="K5" s="3"/>
      <c r="L5" s="200"/>
      <c r="M5" s="200"/>
      <c r="N5" s="118"/>
      <c r="O5" s="52"/>
      <c r="P5" s="52"/>
    </row>
    <row r="6" spans="2:16">
      <c r="C6" s="31"/>
      <c r="G6" s="3" t="s">
        <v>53</v>
      </c>
      <c r="H6" s="143"/>
      <c r="I6" s="3"/>
      <c r="J6" s="3"/>
      <c r="K6" s="3"/>
      <c r="L6" s="143"/>
      <c r="M6" s="3"/>
      <c r="N6" s="199"/>
    </row>
    <row r="7" spans="2:16">
      <c r="C7" s="32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2:16" ht="18">
      <c r="C8" s="33" t="s">
        <v>54</v>
      </c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2:16" ht="18">
      <c r="C9" s="32"/>
      <c r="D9" s="292" t="s">
        <v>128</v>
      </c>
      <c r="E9" s="292"/>
      <c r="F9" s="292"/>
      <c r="G9" s="292"/>
      <c r="H9" s="292"/>
      <c r="I9" s="292"/>
      <c r="J9" s="292"/>
      <c r="K9" s="292"/>
      <c r="L9" s="34"/>
      <c r="M9" s="34"/>
    </row>
    <row r="10" spans="2:16" ht="18">
      <c r="C10" s="32"/>
      <c r="D10" s="23"/>
      <c r="E10" s="211"/>
      <c r="F10" s="211"/>
      <c r="G10" s="211"/>
      <c r="H10" s="211"/>
      <c r="I10" s="211"/>
      <c r="J10" s="220"/>
      <c r="K10" s="211"/>
      <c r="L10" s="211"/>
      <c r="M10" s="211"/>
    </row>
    <row r="11" spans="2:16" ht="36.75">
      <c r="B11" s="36" t="s">
        <v>3</v>
      </c>
      <c r="C11" s="37" t="s">
        <v>4</v>
      </c>
      <c r="D11" s="38" t="s">
        <v>44</v>
      </c>
      <c r="E11" s="39" t="s">
        <v>55</v>
      </c>
      <c r="F11" s="39" t="s">
        <v>44</v>
      </c>
      <c r="G11" s="39" t="s">
        <v>56</v>
      </c>
      <c r="H11" s="40" t="s">
        <v>48</v>
      </c>
      <c r="I11" s="40" t="s">
        <v>49</v>
      </c>
      <c r="J11" s="40" t="s">
        <v>139</v>
      </c>
      <c r="K11" s="41" t="s">
        <v>57</v>
      </c>
      <c r="L11" s="40" t="s">
        <v>58</v>
      </c>
      <c r="M11" s="40" t="s">
        <v>59</v>
      </c>
      <c r="N11" s="42"/>
      <c r="O11" s="42"/>
      <c r="P11" s="42"/>
    </row>
    <row r="12" spans="2:16" s="100" customFormat="1" ht="17.25" customHeight="1">
      <c r="B12" s="106">
        <v>1</v>
      </c>
      <c r="C12" s="91" t="s">
        <v>26</v>
      </c>
      <c r="D12" s="107">
        <v>1</v>
      </c>
      <c r="E12" s="108">
        <v>72381</v>
      </c>
      <c r="F12" s="108"/>
      <c r="G12" s="108"/>
      <c r="H12" s="109">
        <f t="shared" ref="H12:H21" si="0">(E12+G12)*25%</f>
        <v>18095.25</v>
      </c>
      <c r="I12" s="110">
        <f t="shared" ref="I12:I21" si="1">D12+F12</f>
        <v>1</v>
      </c>
      <c r="J12" s="110"/>
      <c r="K12" s="111">
        <f>(E12+G12+H12)*0.1</f>
        <v>9047.625</v>
      </c>
      <c r="L12" s="109">
        <f>H12+G12+E12+K12+J12</f>
        <v>99523.875</v>
      </c>
      <c r="M12" s="109">
        <f>(L12*12)/1000</f>
        <v>1194.2864999999999</v>
      </c>
    </row>
    <row r="13" spans="2:16" s="100" customFormat="1">
      <c r="B13" s="106">
        <v>2</v>
      </c>
      <c r="C13" s="106" t="s">
        <v>27</v>
      </c>
      <c r="D13" s="107">
        <v>1</v>
      </c>
      <c r="E13" s="108">
        <v>58754</v>
      </c>
      <c r="F13" s="108">
        <v>1</v>
      </c>
      <c r="G13" s="108">
        <v>63355</v>
      </c>
      <c r="H13" s="109">
        <f t="shared" si="0"/>
        <v>30527.25</v>
      </c>
      <c r="I13" s="110">
        <f t="shared" si="1"/>
        <v>2</v>
      </c>
      <c r="J13" s="110"/>
      <c r="K13" s="111">
        <f t="shared" ref="K13:K21" si="2">(E13+G13+H13)*0.1</f>
        <v>15263.625</v>
      </c>
      <c r="L13" s="109">
        <f t="shared" ref="L13:L21" si="3">H13+G13+E13+K13+J13</f>
        <v>167899.875</v>
      </c>
      <c r="M13" s="109">
        <f t="shared" ref="M13:M21" si="4">(L13*12)/1000</f>
        <v>2014.7985000000001</v>
      </c>
    </row>
    <row r="14" spans="2:16" s="227" customFormat="1">
      <c r="B14" s="237">
        <v>3</v>
      </c>
      <c r="C14" s="237" t="s">
        <v>28</v>
      </c>
      <c r="D14" s="239">
        <v>1</v>
      </c>
      <c r="E14" s="240">
        <v>59462</v>
      </c>
      <c r="F14" s="244">
        <v>0</v>
      </c>
      <c r="G14" s="240">
        <v>0</v>
      </c>
      <c r="H14" s="241">
        <f t="shared" si="0"/>
        <v>14865.5</v>
      </c>
      <c r="I14" s="242">
        <f t="shared" si="1"/>
        <v>1</v>
      </c>
      <c r="J14" s="242"/>
      <c r="K14" s="243">
        <f t="shared" si="2"/>
        <v>7432.75</v>
      </c>
      <c r="L14" s="241">
        <f t="shared" si="3"/>
        <v>81760.25</v>
      </c>
      <c r="M14" s="241">
        <f t="shared" si="4"/>
        <v>981.12300000000005</v>
      </c>
    </row>
    <row r="15" spans="2:16" s="227" customFormat="1">
      <c r="B15" s="237">
        <v>4</v>
      </c>
      <c r="C15" s="237" t="s">
        <v>29</v>
      </c>
      <c r="D15" s="239">
        <v>3</v>
      </c>
      <c r="E15" s="240">
        <v>234663</v>
      </c>
      <c r="F15" s="244">
        <v>2</v>
      </c>
      <c r="G15" s="240">
        <v>134321</v>
      </c>
      <c r="H15" s="241">
        <f>(E15+G15)*25%</f>
        <v>92246</v>
      </c>
      <c r="I15" s="242">
        <f t="shared" si="1"/>
        <v>5</v>
      </c>
      <c r="J15" s="242">
        <v>21237</v>
      </c>
      <c r="K15" s="243">
        <f t="shared" si="2"/>
        <v>46123</v>
      </c>
      <c r="L15" s="241">
        <f t="shared" si="3"/>
        <v>528590</v>
      </c>
      <c r="M15" s="241">
        <f t="shared" si="4"/>
        <v>6343.08</v>
      </c>
    </row>
    <row r="16" spans="2:16" s="227" customFormat="1">
      <c r="B16" s="237">
        <v>5</v>
      </c>
      <c r="C16" s="237" t="s">
        <v>30</v>
      </c>
      <c r="D16" s="239">
        <v>1</v>
      </c>
      <c r="E16" s="240">
        <v>60347</v>
      </c>
      <c r="F16" s="240">
        <v>1</v>
      </c>
      <c r="G16" s="240">
        <v>62293</v>
      </c>
      <c r="H16" s="241">
        <f t="shared" si="0"/>
        <v>30660</v>
      </c>
      <c r="I16" s="242">
        <f t="shared" si="1"/>
        <v>2</v>
      </c>
      <c r="J16" s="242"/>
      <c r="K16" s="243">
        <f t="shared" si="2"/>
        <v>15330</v>
      </c>
      <c r="L16" s="241">
        <f t="shared" si="3"/>
        <v>168630</v>
      </c>
      <c r="M16" s="241">
        <f t="shared" si="4"/>
        <v>2023.56</v>
      </c>
    </row>
    <row r="17" spans="2:16" s="227" customFormat="1">
      <c r="B17" s="237">
        <v>6</v>
      </c>
      <c r="C17" s="237" t="s">
        <v>31</v>
      </c>
      <c r="D17" s="239">
        <v>1</v>
      </c>
      <c r="E17" s="240">
        <v>60347</v>
      </c>
      <c r="F17" s="240">
        <v>1</v>
      </c>
      <c r="G17" s="240">
        <v>59462</v>
      </c>
      <c r="H17" s="241">
        <f t="shared" si="0"/>
        <v>29952.25</v>
      </c>
      <c r="I17" s="242">
        <f t="shared" si="1"/>
        <v>2</v>
      </c>
      <c r="J17" s="242"/>
      <c r="K17" s="243">
        <f t="shared" si="2"/>
        <v>14976.125</v>
      </c>
      <c r="L17" s="241">
        <f t="shared" si="3"/>
        <v>164737.375</v>
      </c>
      <c r="M17" s="241">
        <f t="shared" si="4"/>
        <v>1976.8485000000001</v>
      </c>
    </row>
    <row r="18" spans="2:16" s="227" customFormat="1">
      <c r="B18" s="237">
        <v>7</v>
      </c>
      <c r="C18" s="237" t="s">
        <v>32</v>
      </c>
      <c r="D18" s="239">
        <v>1</v>
      </c>
      <c r="E18" s="245">
        <v>148654</v>
      </c>
      <c r="F18" s="240">
        <v>4</v>
      </c>
      <c r="G18" s="245">
        <v>235184</v>
      </c>
      <c r="H18" s="241">
        <f t="shared" si="0"/>
        <v>95959.5</v>
      </c>
      <c r="I18" s="242">
        <f t="shared" si="1"/>
        <v>5</v>
      </c>
      <c r="J18" s="242"/>
      <c r="K18" s="243">
        <f t="shared" si="2"/>
        <v>47979.75</v>
      </c>
      <c r="L18" s="241">
        <f t="shared" si="3"/>
        <v>527777.25</v>
      </c>
      <c r="M18" s="241">
        <f t="shared" si="4"/>
        <v>6333.3270000000002</v>
      </c>
    </row>
    <row r="19" spans="2:16" s="227" customFormat="1">
      <c r="B19" s="237">
        <v>8</v>
      </c>
      <c r="C19" s="237" t="s">
        <v>33</v>
      </c>
      <c r="D19" s="239">
        <v>1</v>
      </c>
      <c r="E19" s="240">
        <v>77159</v>
      </c>
      <c r="F19" s="240"/>
      <c r="G19" s="240"/>
      <c r="H19" s="241">
        <f t="shared" si="0"/>
        <v>19289.75</v>
      </c>
      <c r="I19" s="242">
        <f t="shared" si="1"/>
        <v>1</v>
      </c>
      <c r="J19" s="242"/>
      <c r="K19" s="243">
        <f t="shared" si="2"/>
        <v>9644.875</v>
      </c>
      <c r="L19" s="241">
        <f t="shared" si="3"/>
        <v>106093.625</v>
      </c>
      <c r="M19" s="241">
        <f t="shared" si="4"/>
        <v>1273.1234999999999</v>
      </c>
    </row>
    <row r="20" spans="2:16" s="227" customFormat="1">
      <c r="B20" s="237">
        <v>9</v>
      </c>
      <c r="C20" s="237" t="s">
        <v>34</v>
      </c>
      <c r="D20" s="239">
        <v>1</v>
      </c>
      <c r="E20" s="240">
        <v>79813</v>
      </c>
      <c r="F20" s="240"/>
      <c r="G20" s="240"/>
      <c r="H20" s="241">
        <f t="shared" si="0"/>
        <v>19953.25</v>
      </c>
      <c r="I20" s="242">
        <f t="shared" si="1"/>
        <v>1</v>
      </c>
      <c r="J20" s="242">
        <v>7079</v>
      </c>
      <c r="K20" s="243">
        <f>(E20+G20+H20)*0.1</f>
        <v>9976.625</v>
      </c>
      <c r="L20" s="241">
        <f>H20+G20+E20+K20+J20</f>
        <v>116821.875</v>
      </c>
      <c r="M20" s="241">
        <f t="shared" si="4"/>
        <v>1401.8625</v>
      </c>
    </row>
    <row r="21" spans="2:16" s="227" customFormat="1">
      <c r="B21" s="237">
        <v>10</v>
      </c>
      <c r="C21" s="237" t="s">
        <v>35</v>
      </c>
      <c r="D21" s="239">
        <v>2</v>
      </c>
      <c r="E21" s="240">
        <v>137693</v>
      </c>
      <c r="F21" s="240">
        <v>0</v>
      </c>
      <c r="G21" s="240">
        <v>0</v>
      </c>
      <c r="H21" s="241">
        <f t="shared" si="0"/>
        <v>34423.25</v>
      </c>
      <c r="I21" s="242">
        <f t="shared" si="1"/>
        <v>2</v>
      </c>
      <c r="J21" s="242"/>
      <c r="K21" s="243">
        <f t="shared" si="2"/>
        <v>17211.625</v>
      </c>
      <c r="L21" s="241">
        <f t="shared" si="3"/>
        <v>189327.875</v>
      </c>
      <c r="M21" s="241">
        <f t="shared" si="4"/>
        <v>2271.9344999999998</v>
      </c>
    </row>
    <row r="22" spans="2:16">
      <c r="B22" s="43"/>
      <c r="C22" s="53" t="s">
        <v>36</v>
      </c>
      <c r="D22" s="55">
        <f>SUM(D12:D21)</f>
        <v>13</v>
      </c>
      <c r="E22" s="54">
        <f>SUM(E12:E21)</f>
        <v>989273</v>
      </c>
      <c r="F22" s="108">
        <v>0</v>
      </c>
      <c r="G22" s="54">
        <f t="shared" ref="G22:M22" si="5">SUM(G12:G21)</f>
        <v>554615</v>
      </c>
      <c r="H22" s="44">
        <f t="shared" si="5"/>
        <v>385972</v>
      </c>
      <c r="I22" s="45">
        <f t="shared" si="5"/>
        <v>22</v>
      </c>
      <c r="J22" s="45">
        <f t="shared" si="5"/>
        <v>28316</v>
      </c>
      <c r="K22" s="45">
        <f t="shared" si="5"/>
        <v>192986</v>
      </c>
      <c r="L22" s="45">
        <f t="shared" si="5"/>
        <v>2151162</v>
      </c>
      <c r="M22" s="45">
        <f t="shared" si="5"/>
        <v>25813.944</v>
      </c>
      <c r="N22" s="42"/>
      <c r="O22" s="42"/>
      <c r="P22" s="22"/>
    </row>
    <row r="23" spans="2:16">
      <c r="D23" s="46"/>
      <c r="E23" s="46"/>
      <c r="F23" s="46"/>
      <c r="G23" s="46"/>
      <c r="H23" s="47"/>
      <c r="I23" s="49"/>
      <c r="J23" s="49"/>
      <c r="K23" s="49"/>
      <c r="L23" s="48"/>
      <c r="M23" s="49"/>
    </row>
    <row r="24" spans="2:16">
      <c r="D24" s="50"/>
      <c r="E24" s="50"/>
      <c r="I24" s="51"/>
      <c r="J24" s="51"/>
      <c r="K24" s="51"/>
    </row>
    <row r="25" spans="2:16">
      <c r="B25" s="42"/>
      <c r="C25" s="138" t="s">
        <v>37</v>
      </c>
      <c r="D25" s="138"/>
      <c r="E25" s="138"/>
      <c r="F25" s="138"/>
      <c r="G25" s="139"/>
      <c r="H25" s="140"/>
      <c r="I25" s="140" t="s">
        <v>38</v>
      </c>
      <c r="J25" s="140"/>
      <c r="K25" s="140"/>
      <c r="L25" s="24"/>
      <c r="M25" s="25"/>
      <c r="N25" s="42"/>
      <c r="O25" s="42"/>
      <c r="P25" s="42"/>
    </row>
    <row r="26" spans="2:16" ht="15.75">
      <c r="C26" s="1"/>
      <c r="D26" s="1"/>
      <c r="E26" s="196"/>
      <c r="F26" s="1"/>
      <c r="G26" s="197"/>
      <c r="H26" s="197"/>
      <c r="I26" s="197"/>
      <c r="J26" s="197"/>
      <c r="K26" s="197"/>
      <c r="L26" s="21"/>
      <c r="M26" s="26"/>
    </row>
    <row r="27" spans="2:16" ht="15.75">
      <c r="C27" s="142" t="s">
        <v>39</v>
      </c>
      <c r="D27" s="142"/>
      <c r="E27" s="210"/>
      <c r="F27" s="142"/>
      <c r="G27" s="198"/>
      <c r="H27" s="198"/>
      <c r="I27" s="140" t="s">
        <v>99</v>
      </c>
      <c r="J27" s="140"/>
      <c r="K27" s="198"/>
      <c r="L27" s="27"/>
      <c r="M27" s="28"/>
    </row>
  </sheetData>
  <mergeCells count="1">
    <mergeCell ref="D9:K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6"/>
  <sheetViews>
    <sheetView view="pageBreakPreview" zoomScale="110" zoomScaleSheetLayoutView="110" workbookViewId="0">
      <selection activeCell="I10" sqref="I10"/>
    </sheetView>
  </sheetViews>
  <sheetFormatPr defaultRowHeight="15"/>
  <cols>
    <col min="1" max="1" width="18.85546875" customWidth="1"/>
    <col min="2" max="2" width="6.85546875" customWidth="1"/>
    <col min="3" max="3" width="4.28515625" customWidth="1"/>
    <col min="6" max="6" width="4.5703125" customWidth="1"/>
    <col min="7" max="7" width="8.42578125" customWidth="1"/>
    <col min="8" max="8" width="6" customWidth="1"/>
    <col min="11" max="11" width="5.85546875" customWidth="1"/>
    <col min="13" max="13" width="10" customWidth="1"/>
    <col min="15" max="15" width="6.140625" customWidth="1"/>
  </cols>
  <sheetData>
    <row r="1" spans="1:17">
      <c r="I1" s="62" t="s">
        <v>40</v>
      </c>
      <c r="J1" s="3"/>
      <c r="K1" s="3"/>
      <c r="L1" s="3"/>
      <c r="M1" s="62"/>
      <c r="N1" s="62"/>
      <c r="O1" s="3"/>
    </row>
    <row r="2" spans="1:17">
      <c r="I2" s="3" t="s">
        <v>119</v>
      </c>
      <c r="J2" s="3"/>
      <c r="K2" s="3"/>
      <c r="L2" s="3"/>
      <c r="M2" s="3"/>
      <c r="N2" s="3"/>
      <c r="O2" s="62"/>
    </row>
    <row r="3" spans="1:17">
      <c r="I3" s="154" t="s">
        <v>153</v>
      </c>
      <c r="J3" s="3"/>
      <c r="K3" s="154"/>
      <c r="L3" s="3"/>
      <c r="M3" s="154"/>
      <c r="N3" s="154"/>
      <c r="O3" s="62"/>
    </row>
    <row r="4" spans="1:17">
      <c r="I4" s="3" t="s">
        <v>98</v>
      </c>
      <c r="J4" s="3"/>
      <c r="K4" s="3"/>
      <c r="L4" s="200"/>
      <c r="M4" s="200"/>
      <c r="N4" s="200"/>
      <c r="O4" s="118"/>
    </row>
    <row r="5" spans="1:17">
      <c r="I5" s="3" t="s">
        <v>60</v>
      </c>
      <c r="J5" s="3"/>
      <c r="K5" s="3"/>
      <c r="L5" s="3"/>
      <c r="M5" s="3"/>
      <c r="N5" s="3"/>
      <c r="O5" s="62"/>
    </row>
    <row r="6" spans="1:17">
      <c r="I6" s="7"/>
      <c r="J6" s="7"/>
      <c r="K6" s="7"/>
      <c r="L6" s="7"/>
      <c r="M6" s="7"/>
      <c r="N6" s="7"/>
      <c r="O6" s="3"/>
    </row>
    <row r="7" spans="1:17">
      <c r="C7" s="293" t="s">
        <v>61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7">
      <c r="C8" s="293" t="s">
        <v>62</v>
      </c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67"/>
    </row>
    <row r="9" spans="1:17">
      <c r="C9" s="293" t="s">
        <v>142</v>
      </c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67"/>
      <c r="P9" s="56"/>
      <c r="Q9" s="56"/>
    </row>
    <row r="10" spans="1:17"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P10" s="56"/>
      <c r="Q10" s="56"/>
    </row>
    <row r="11" spans="1:17" ht="33">
      <c r="A11" s="112" t="s">
        <v>63</v>
      </c>
      <c r="B11" s="113" t="s">
        <v>64</v>
      </c>
      <c r="C11" s="114" t="s">
        <v>44</v>
      </c>
      <c r="D11" s="112" t="s">
        <v>65</v>
      </c>
      <c r="E11" s="115">
        <v>0.25</v>
      </c>
      <c r="F11" s="114" t="s">
        <v>44</v>
      </c>
      <c r="G11" s="113" t="s">
        <v>66</v>
      </c>
      <c r="H11" s="116" t="s">
        <v>67</v>
      </c>
      <c r="I11" s="116" t="s">
        <v>68</v>
      </c>
      <c r="J11" s="117">
        <v>0.25</v>
      </c>
      <c r="K11" s="116" t="s">
        <v>67</v>
      </c>
      <c r="L11" s="116" t="s">
        <v>69</v>
      </c>
      <c r="M11" s="117">
        <v>0.25</v>
      </c>
      <c r="N11" s="117" t="s">
        <v>50</v>
      </c>
      <c r="O11" s="113" t="s">
        <v>70</v>
      </c>
      <c r="P11" s="113" t="s">
        <v>71</v>
      </c>
      <c r="Q11" s="75" t="s">
        <v>59</v>
      </c>
    </row>
    <row r="12" spans="1:17" s="227" customFormat="1">
      <c r="A12" s="247" t="s">
        <v>26</v>
      </c>
      <c r="B12" s="248"/>
      <c r="C12" s="224">
        <v>1</v>
      </c>
      <c r="D12" s="84">
        <v>95033</v>
      </c>
      <c r="E12" s="84">
        <f>D12*25%</f>
        <v>23758.25</v>
      </c>
      <c r="F12" s="224"/>
      <c r="G12" s="224"/>
      <c r="H12" s="249">
        <v>1</v>
      </c>
      <c r="I12" s="250">
        <v>76628</v>
      </c>
      <c r="J12" s="250">
        <f>I12*25%</f>
        <v>19157</v>
      </c>
      <c r="K12" s="249">
        <v>1</v>
      </c>
      <c r="L12" s="225">
        <v>83176</v>
      </c>
      <c r="M12" s="250">
        <f>L12*25%</f>
        <v>20794</v>
      </c>
      <c r="N12" s="250">
        <f>(M12+L12+J12+I12+G12+E12+D12)*0.1</f>
        <v>31854.625</v>
      </c>
      <c r="O12" s="72">
        <f>C12+F12+H12+K12</f>
        <v>3</v>
      </c>
      <c r="P12" s="84">
        <f>M12+L12+J12+I12+G12+E12+D12+N12</f>
        <v>350400.875</v>
      </c>
      <c r="Q12" s="226">
        <f>(P12*12)/1000</f>
        <v>4204.8104999999996</v>
      </c>
    </row>
    <row r="13" spans="1:17" s="227" customFormat="1">
      <c r="A13" s="224" t="s">
        <v>27</v>
      </c>
      <c r="B13" s="224"/>
      <c r="C13" s="224">
        <v>1</v>
      </c>
      <c r="D13" s="84">
        <v>95033</v>
      </c>
      <c r="E13" s="84">
        <f>D13*25%</f>
        <v>23758.25</v>
      </c>
      <c r="F13" s="224"/>
      <c r="G13" s="224"/>
      <c r="H13" s="249">
        <v>1</v>
      </c>
      <c r="I13" s="250">
        <v>90432</v>
      </c>
      <c r="J13" s="250">
        <f t="shared" ref="J13:J21" si="0">I13*25%</f>
        <v>22608</v>
      </c>
      <c r="K13" s="249">
        <v>1</v>
      </c>
      <c r="L13" s="250">
        <v>90432</v>
      </c>
      <c r="M13" s="250">
        <f t="shared" ref="M13:M21" si="1">L13*25%</f>
        <v>22608</v>
      </c>
      <c r="N13" s="250">
        <f t="shared" ref="N13:N21" si="2">(M13+L13+J13+I13+G13+E13+D13)*0.1</f>
        <v>34487.125</v>
      </c>
      <c r="O13" s="72">
        <f t="shared" ref="O13:O21" si="3">C13+F13+H13+K13</f>
        <v>3</v>
      </c>
      <c r="P13" s="84">
        <f t="shared" ref="P13:P21" si="4">M13+L13+J13+I13+G13+E13+D13+N13</f>
        <v>379358.375</v>
      </c>
      <c r="Q13" s="226">
        <f t="shared" ref="Q13:Q21" si="5">(P13*12)/1000</f>
        <v>4552.3005000000003</v>
      </c>
    </row>
    <row r="14" spans="1:17" s="227" customFormat="1">
      <c r="A14" s="224" t="s">
        <v>28</v>
      </c>
      <c r="B14" s="224"/>
      <c r="C14" s="224">
        <v>1</v>
      </c>
      <c r="D14" s="84">
        <v>95033</v>
      </c>
      <c r="E14" s="84">
        <f t="shared" ref="E14:E21" si="6">D14*25%</f>
        <v>23758.25</v>
      </c>
      <c r="F14" s="224"/>
      <c r="G14" s="224"/>
      <c r="H14" s="249">
        <v>1</v>
      </c>
      <c r="I14" s="250">
        <v>90432</v>
      </c>
      <c r="J14" s="250">
        <f t="shared" si="0"/>
        <v>22608</v>
      </c>
      <c r="K14" s="249">
        <v>1</v>
      </c>
      <c r="L14" s="250">
        <v>85477</v>
      </c>
      <c r="M14" s="250">
        <f t="shared" si="1"/>
        <v>21369.25</v>
      </c>
      <c r="N14" s="250">
        <f t="shared" si="2"/>
        <v>33867.75</v>
      </c>
      <c r="O14" s="72">
        <f t="shared" si="3"/>
        <v>3</v>
      </c>
      <c r="P14" s="84">
        <f t="shared" si="4"/>
        <v>372545.25</v>
      </c>
      <c r="Q14" s="226">
        <f t="shared" si="5"/>
        <v>4470.5429999999997</v>
      </c>
    </row>
    <row r="15" spans="1:17" s="227" customFormat="1">
      <c r="A15" s="224" t="s">
        <v>29</v>
      </c>
      <c r="B15" s="224"/>
      <c r="C15" s="224">
        <v>1</v>
      </c>
      <c r="D15" s="84">
        <v>92024</v>
      </c>
      <c r="E15" s="84">
        <f t="shared" si="6"/>
        <v>23006</v>
      </c>
      <c r="F15" s="224">
        <v>1</v>
      </c>
      <c r="G15" s="224">
        <v>75389</v>
      </c>
      <c r="H15" s="249">
        <v>1.5</v>
      </c>
      <c r="I15" s="250">
        <v>129984</v>
      </c>
      <c r="J15" s="250">
        <f t="shared" si="0"/>
        <v>32496</v>
      </c>
      <c r="K15" s="249">
        <v>1.5</v>
      </c>
      <c r="L15" s="250">
        <v>130162</v>
      </c>
      <c r="M15" s="250">
        <f t="shared" si="1"/>
        <v>32540.5</v>
      </c>
      <c r="N15" s="250">
        <f t="shared" si="2"/>
        <v>51560.15</v>
      </c>
      <c r="O15" s="72">
        <f t="shared" si="3"/>
        <v>5</v>
      </c>
      <c r="P15" s="84">
        <f t="shared" si="4"/>
        <v>567161.65</v>
      </c>
      <c r="Q15" s="226">
        <f t="shared" si="5"/>
        <v>6805.939800000001</v>
      </c>
    </row>
    <row r="16" spans="1:17" s="227" customFormat="1">
      <c r="A16" s="224" t="s">
        <v>30</v>
      </c>
      <c r="B16" s="224"/>
      <c r="C16" s="224">
        <v>1</v>
      </c>
      <c r="D16" s="84">
        <v>89901</v>
      </c>
      <c r="E16" s="84">
        <f t="shared" si="6"/>
        <v>22475.25</v>
      </c>
      <c r="F16" s="224"/>
      <c r="G16" s="224"/>
      <c r="H16" s="249">
        <v>0.5</v>
      </c>
      <c r="I16" s="250">
        <v>42738</v>
      </c>
      <c r="J16" s="250">
        <f t="shared" si="0"/>
        <v>10684.5</v>
      </c>
      <c r="K16" s="249">
        <v>0.5</v>
      </c>
      <c r="L16" s="225">
        <v>45216</v>
      </c>
      <c r="M16" s="250">
        <f t="shared" si="1"/>
        <v>11304</v>
      </c>
      <c r="N16" s="250">
        <f t="shared" si="2"/>
        <v>22231.875</v>
      </c>
      <c r="O16" s="72">
        <f t="shared" si="3"/>
        <v>2</v>
      </c>
      <c r="P16" s="84">
        <f t="shared" si="4"/>
        <v>244550.625</v>
      </c>
      <c r="Q16" s="226">
        <f t="shared" si="5"/>
        <v>2934.6075000000001</v>
      </c>
    </row>
    <row r="17" spans="1:17" s="227" customFormat="1">
      <c r="A17" s="224" t="s">
        <v>31</v>
      </c>
      <c r="B17" s="224"/>
      <c r="C17" s="224">
        <v>1</v>
      </c>
      <c r="D17" s="84">
        <v>95033</v>
      </c>
      <c r="E17" s="84">
        <f t="shared" si="6"/>
        <v>23758.25</v>
      </c>
      <c r="F17" s="224"/>
      <c r="G17" s="224"/>
      <c r="H17" s="249">
        <v>0.5</v>
      </c>
      <c r="I17" s="250">
        <v>45216</v>
      </c>
      <c r="J17" s="250">
        <f t="shared" si="0"/>
        <v>11304</v>
      </c>
      <c r="K17" s="249">
        <v>0.5</v>
      </c>
      <c r="L17" s="250">
        <v>45216</v>
      </c>
      <c r="M17" s="250">
        <f t="shared" si="1"/>
        <v>11304</v>
      </c>
      <c r="N17" s="250">
        <f t="shared" si="2"/>
        <v>23183.125</v>
      </c>
      <c r="O17" s="72">
        <f t="shared" si="3"/>
        <v>2</v>
      </c>
      <c r="P17" s="84">
        <f t="shared" si="4"/>
        <v>255014.375</v>
      </c>
      <c r="Q17" s="226">
        <f t="shared" si="5"/>
        <v>3060.1725000000001</v>
      </c>
    </row>
    <row r="18" spans="1:17" s="227" customFormat="1">
      <c r="A18" s="224" t="s">
        <v>32</v>
      </c>
      <c r="B18" s="224"/>
      <c r="C18" s="224">
        <v>1</v>
      </c>
      <c r="D18" s="84">
        <v>95033</v>
      </c>
      <c r="E18" s="84">
        <f t="shared" si="6"/>
        <v>23758.25</v>
      </c>
      <c r="F18" s="224">
        <v>1</v>
      </c>
      <c r="G18" s="224">
        <v>91140</v>
      </c>
      <c r="H18" s="249">
        <v>1</v>
      </c>
      <c r="I18" s="250">
        <v>78752</v>
      </c>
      <c r="J18" s="250">
        <f t="shared" si="0"/>
        <v>19688</v>
      </c>
      <c r="K18" s="249">
        <v>1</v>
      </c>
      <c r="L18" s="225">
        <v>80875</v>
      </c>
      <c r="M18" s="250">
        <f t="shared" si="1"/>
        <v>20218.75</v>
      </c>
      <c r="N18" s="250">
        <f t="shared" si="2"/>
        <v>40946.5</v>
      </c>
      <c r="O18" s="72">
        <f t="shared" si="3"/>
        <v>4</v>
      </c>
      <c r="P18" s="84">
        <f t="shared" si="4"/>
        <v>450411.5</v>
      </c>
      <c r="Q18" s="226">
        <f t="shared" si="5"/>
        <v>5404.9380000000001</v>
      </c>
    </row>
    <row r="19" spans="1:17" s="227" customFormat="1">
      <c r="A19" s="224" t="s">
        <v>33</v>
      </c>
      <c r="B19" s="224"/>
      <c r="C19" s="224">
        <v>1</v>
      </c>
      <c r="D19" s="84">
        <v>87423</v>
      </c>
      <c r="E19" s="84">
        <f t="shared" si="6"/>
        <v>21855.75</v>
      </c>
      <c r="F19" s="224"/>
      <c r="G19" s="224"/>
      <c r="H19" s="249">
        <v>0.5</v>
      </c>
      <c r="I19" s="250">
        <v>45216</v>
      </c>
      <c r="J19" s="250">
        <f t="shared" si="0"/>
        <v>11304</v>
      </c>
      <c r="K19" s="249">
        <v>0.5</v>
      </c>
      <c r="L19" s="250">
        <v>39376</v>
      </c>
      <c r="M19" s="250">
        <f t="shared" si="1"/>
        <v>9844</v>
      </c>
      <c r="N19" s="250">
        <f t="shared" si="2"/>
        <v>21501.875</v>
      </c>
      <c r="O19" s="72">
        <f t="shared" si="3"/>
        <v>2</v>
      </c>
      <c r="P19" s="84">
        <f t="shared" si="4"/>
        <v>236520.625</v>
      </c>
      <c r="Q19" s="226">
        <f t="shared" si="5"/>
        <v>2838.2474999999999</v>
      </c>
    </row>
    <row r="20" spans="1:17" s="227" customFormat="1">
      <c r="A20" s="224" t="s">
        <v>34</v>
      </c>
      <c r="B20" s="224"/>
      <c r="C20" s="224">
        <v>1</v>
      </c>
      <c r="D20" s="224">
        <v>95033</v>
      </c>
      <c r="E20" s="84">
        <f t="shared" si="6"/>
        <v>23758.25</v>
      </c>
      <c r="F20" s="224"/>
      <c r="G20" s="224"/>
      <c r="H20" s="249">
        <v>1</v>
      </c>
      <c r="I20" s="250">
        <v>83176</v>
      </c>
      <c r="J20" s="250">
        <f t="shared" si="0"/>
        <v>20794</v>
      </c>
      <c r="K20" s="249">
        <v>1</v>
      </c>
      <c r="L20" s="250">
        <v>90432</v>
      </c>
      <c r="M20" s="250">
        <f t="shared" si="1"/>
        <v>22608</v>
      </c>
      <c r="N20" s="250">
        <f t="shared" si="2"/>
        <v>33580.125</v>
      </c>
      <c r="O20" s="72">
        <f t="shared" si="3"/>
        <v>3</v>
      </c>
      <c r="P20" s="84">
        <f t="shared" si="4"/>
        <v>369381.375</v>
      </c>
      <c r="Q20" s="226">
        <f t="shared" si="5"/>
        <v>4432.5765000000001</v>
      </c>
    </row>
    <row r="21" spans="1:17" s="227" customFormat="1">
      <c r="A21" s="224" t="s">
        <v>35</v>
      </c>
      <c r="B21" s="224"/>
      <c r="C21" s="224">
        <v>1</v>
      </c>
      <c r="D21" s="84">
        <v>95033</v>
      </c>
      <c r="E21" s="84">
        <f t="shared" si="6"/>
        <v>23758.25</v>
      </c>
      <c r="F21" s="224">
        <v>1</v>
      </c>
      <c r="G21" s="224">
        <v>79371</v>
      </c>
      <c r="H21" s="249">
        <v>1</v>
      </c>
      <c r="I21" s="250">
        <v>83176</v>
      </c>
      <c r="J21" s="250">
        <f t="shared" si="0"/>
        <v>20794</v>
      </c>
      <c r="K21" s="249">
        <v>1</v>
      </c>
      <c r="L21" s="225">
        <v>74504</v>
      </c>
      <c r="M21" s="250">
        <f t="shared" si="1"/>
        <v>18626</v>
      </c>
      <c r="N21" s="250">
        <f t="shared" si="2"/>
        <v>39526.225000000006</v>
      </c>
      <c r="O21" s="72">
        <f t="shared" si="3"/>
        <v>4</v>
      </c>
      <c r="P21" s="84">
        <f t="shared" si="4"/>
        <v>434788.47499999998</v>
      </c>
      <c r="Q21" s="226">
        <f t="shared" si="5"/>
        <v>5217.4616999999989</v>
      </c>
    </row>
    <row r="22" spans="1:17">
      <c r="A22" s="74" t="s">
        <v>72</v>
      </c>
      <c r="B22" s="75">
        <f>SUM(B12:B21)</f>
        <v>0</v>
      </c>
      <c r="C22" s="75">
        <f>SUM(C12:C21)</f>
        <v>10</v>
      </c>
      <c r="D22" s="75">
        <f t="shared" ref="D22:Q22" si="7">SUM(D12:D21)</f>
        <v>934579</v>
      </c>
      <c r="E22" s="75">
        <f t="shared" si="7"/>
        <v>233644.75</v>
      </c>
      <c r="F22" s="75">
        <f t="shared" si="7"/>
        <v>3</v>
      </c>
      <c r="G22" s="75">
        <f t="shared" si="7"/>
        <v>245900</v>
      </c>
      <c r="H22" s="75">
        <f t="shared" si="7"/>
        <v>9</v>
      </c>
      <c r="I22" s="75">
        <f t="shared" si="7"/>
        <v>765750</v>
      </c>
      <c r="J22" s="75">
        <f t="shared" si="7"/>
        <v>191437.5</v>
      </c>
      <c r="K22" s="75">
        <f t="shared" si="7"/>
        <v>9</v>
      </c>
      <c r="L22" s="75">
        <f t="shared" si="7"/>
        <v>764866</v>
      </c>
      <c r="M22" s="75">
        <f t="shared" si="7"/>
        <v>191216.5</v>
      </c>
      <c r="N22" s="75">
        <f t="shared" si="7"/>
        <v>332739.375</v>
      </c>
      <c r="O22" s="75">
        <f t="shared" si="7"/>
        <v>31</v>
      </c>
      <c r="P22" s="75">
        <f t="shared" si="7"/>
        <v>3660133.125</v>
      </c>
      <c r="Q22" s="75">
        <f t="shared" si="7"/>
        <v>43921.597500000003</v>
      </c>
    </row>
    <row r="23" spans="1:17">
      <c r="A23" s="58"/>
      <c r="B23" s="58"/>
      <c r="C23" s="58"/>
      <c r="D23" s="58"/>
      <c r="E23" s="58"/>
      <c r="F23" s="59"/>
      <c r="G23" s="59"/>
      <c r="M23" s="133"/>
      <c r="O23" s="60"/>
      <c r="P23" s="59"/>
      <c r="Q23" s="59"/>
    </row>
    <row r="24" spans="1:17">
      <c r="D24" s="4" t="s">
        <v>37</v>
      </c>
      <c r="E24" s="4"/>
      <c r="F24" s="4"/>
      <c r="G24" s="4"/>
      <c r="H24" s="65"/>
      <c r="I24" s="15"/>
      <c r="J24" s="15" t="s">
        <v>38</v>
      </c>
      <c r="K24" s="62"/>
      <c r="L24" s="3"/>
      <c r="O24" s="61"/>
      <c r="P24" s="61"/>
      <c r="Q24" s="61"/>
    </row>
    <row r="25" spans="1:17">
      <c r="D25" s="3"/>
      <c r="E25" s="3"/>
      <c r="F25" s="66"/>
      <c r="G25" s="3"/>
      <c r="H25" s="63"/>
      <c r="I25" s="63"/>
      <c r="J25" s="63"/>
      <c r="K25" s="3"/>
      <c r="L25" s="3"/>
      <c r="O25" s="61"/>
      <c r="P25" s="61"/>
      <c r="Q25" s="61"/>
    </row>
    <row r="26" spans="1:17">
      <c r="D26" s="62" t="s">
        <v>39</v>
      </c>
      <c r="E26" s="62"/>
      <c r="F26" s="64"/>
      <c r="G26" s="62"/>
      <c r="H26" s="15"/>
      <c r="I26" s="15"/>
      <c r="J26" s="15" t="s">
        <v>99</v>
      </c>
      <c r="K26" s="62"/>
      <c r="L26" s="3"/>
      <c r="O26" s="61"/>
      <c r="P26" s="61"/>
      <c r="Q26" s="61"/>
    </row>
  </sheetData>
  <mergeCells count="3">
    <mergeCell ref="C8:M8"/>
    <mergeCell ref="C9:M9"/>
    <mergeCell ref="C7:M7"/>
  </mergeCells>
  <phoneticPr fontId="32" type="noConversion"/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6"/>
  <sheetViews>
    <sheetView view="pageBreakPreview" zoomScale="110" zoomScaleSheetLayoutView="110" workbookViewId="0">
      <selection activeCell="G6" sqref="G6"/>
    </sheetView>
  </sheetViews>
  <sheetFormatPr defaultRowHeight="15"/>
  <cols>
    <col min="1" max="1" width="18.85546875" customWidth="1"/>
    <col min="2" max="2" width="6.85546875" customWidth="1"/>
    <col min="3" max="3" width="4.28515625" customWidth="1"/>
    <col min="6" max="6" width="4.5703125" customWidth="1"/>
    <col min="7" max="7" width="8.42578125" customWidth="1"/>
    <col min="8" max="8" width="6" customWidth="1"/>
    <col min="11" max="11" width="5.85546875" customWidth="1"/>
    <col min="13" max="13" width="7.85546875" customWidth="1"/>
    <col min="15" max="15" width="6.140625" customWidth="1"/>
  </cols>
  <sheetData>
    <row r="1" spans="1:17">
      <c r="I1" s="62" t="s">
        <v>40</v>
      </c>
      <c r="J1" s="3"/>
      <c r="K1" s="3"/>
      <c r="L1" s="3"/>
      <c r="M1" s="62"/>
      <c r="N1" s="62"/>
      <c r="O1" s="3"/>
    </row>
    <row r="2" spans="1:17">
      <c r="I2" s="3" t="s">
        <v>119</v>
      </c>
      <c r="J2" s="3"/>
      <c r="K2" s="3"/>
      <c r="L2" s="3"/>
      <c r="M2" s="3"/>
      <c r="N2" s="3"/>
      <c r="O2" s="62"/>
    </row>
    <row r="3" spans="1:17">
      <c r="I3" s="154" t="s">
        <v>154</v>
      </c>
      <c r="J3" s="3"/>
      <c r="K3" s="154"/>
      <c r="L3" s="3"/>
      <c r="M3" s="154"/>
      <c r="N3" s="154"/>
      <c r="O3" s="62"/>
    </row>
    <row r="4" spans="1:17">
      <c r="I4" s="3" t="s">
        <v>98</v>
      </c>
      <c r="J4" s="3"/>
      <c r="K4" s="3"/>
      <c r="L4" s="200"/>
      <c r="M4" s="200"/>
      <c r="N4" s="200"/>
      <c r="O4" s="118"/>
    </row>
    <row r="5" spans="1:17">
      <c r="I5" s="3" t="s">
        <v>60</v>
      </c>
      <c r="J5" s="3"/>
      <c r="K5" s="3"/>
      <c r="L5" s="3"/>
      <c r="M5" s="3"/>
      <c r="N5" s="3"/>
      <c r="O5" s="62"/>
    </row>
    <row r="6" spans="1:17">
      <c r="I6" s="7"/>
      <c r="J6" s="7"/>
      <c r="K6" s="7"/>
      <c r="L6" s="7"/>
      <c r="M6" s="7"/>
      <c r="N6" s="7"/>
      <c r="O6" s="3"/>
    </row>
    <row r="7" spans="1:17">
      <c r="C7" s="293" t="s">
        <v>61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7">
      <c r="C8" s="293" t="s">
        <v>62</v>
      </c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16"/>
    </row>
    <row r="9" spans="1:17">
      <c r="C9" s="293" t="s">
        <v>120</v>
      </c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16"/>
      <c r="P9" s="56"/>
      <c r="Q9" s="56"/>
    </row>
    <row r="10" spans="1:17"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P10" s="56"/>
      <c r="Q10" s="56"/>
    </row>
    <row r="11" spans="1:17" ht="33">
      <c r="A11" s="112" t="s">
        <v>63</v>
      </c>
      <c r="B11" s="113" t="s">
        <v>64</v>
      </c>
      <c r="C11" s="114" t="s">
        <v>44</v>
      </c>
      <c r="D11" s="112" t="s">
        <v>65</v>
      </c>
      <c r="E11" s="115">
        <v>0.25</v>
      </c>
      <c r="F11" s="114" t="s">
        <v>44</v>
      </c>
      <c r="G11" s="113" t="s">
        <v>66</v>
      </c>
      <c r="H11" s="116" t="s">
        <v>67</v>
      </c>
      <c r="I11" s="116" t="s">
        <v>68</v>
      </c>
      <c r="J11" s="117">
        <v>0.25</v>
      </c>
      <c r="K11" s="116" t="s">
        <v>67</v>
      </c>
      <c r="L11" s="116" t="s">
        <v>69</v>
      </c>
      <c r="M11" s="117">
        <v>0.25</v>
      </c>
      <c r="N11" s="117" t="s">
        <v>50</v>
      </c>
      <c r="O11" s="113" t="s">
        <v>70</v>
      </c>
      <c r="P11" s="113" t="s">
        <v>71</v>
      </c>
      <c r="Q11" s="75" t="s">
        <v>59</v>
      </c>
    </row>
    <row r="12" spans="1:17" s="100" customFormat="1">
      <c r="A12" s="85" t="s">
        <v>26</v>
      </c>
      <c r="B12" s="102"/>
      <c r="C12" s="86">
        <v>1</v>
      </c>
      <c r="D12" s="87">
        <v>104589</v>
      </c>
      <c r="E12" s="87">
        <f>D12*25%</f>
        <v>26147.25</v>
      </c>
      <c r="F12" s="86"/>
      <c r="G12" s="86"/>
      <c r="H12" s="104">
        <v>1</v>
      </c>
      <c r="I12" s="103">
        <v>84061</v>
      </c>
      <c r="J12" s="103">
        <f>I12*25%</f>
        <v>21015.25</v>
      </c>
      <c r="K12" s="104">
        <v>1</v>
      </c>
      <c r="L12" s="101">
        <v>91493</v>
      </c>
      <c r="M12" s="103">
        <f>L12*25%</f>
        <v>22873.25</v>
      </c>
      <c r="N12" s="103">
        <f>(M12+L12+J12+I12+G12+E12+D12)*0.1</f>
        <v>35017.875</v>
      </c>
      <c r="O12" s="88">
        <f>C12+F12+H12+K12</f>
        <v>3</v>
      </c>
      <c r="P12" s="87">
        <f>M12+L12+J12+I12+G12+E12+D12+N12</f>
        <v>385196.625</v>
      </c>
      <c r="Q12" s="98">
        <f>(P12*12)/1000</f>
        <v>4622.3594999999996</v>
      </c>
    </row>
    <row r="13" spans="1:17" s="100" customFormat="1">
      <c r="A13" s="86" t="s">
        <v>27</v>
      </c>
      <c r="B13" s="86"/>
      <c r="C13" s="86">
        <v>1</v>
      </c>
      <c r="D13" s="87">
        <v>104589</v>
      </c>
      <c r="E13" s="87">
        <f>D13*25%</f>
        <v>26147.25</v>
      </c>
      <c r="F13" s="86"/>
      <c r="G13" s="86"/>
      <c r="H13" s="104">
        <v>1</v>
      </c>
      <c r="I13" s="103">
        <v>99457</v>
      </c>
      <c r="J13" s="103">
        <f t="shared" ref="J13:J21" si="0">I13*25%</f>
        <v>24864.25</v>
      </c>
      <c r="K13" s="104">
        <v>1</v>
      </c>
      <c r="L13" s="103">
        <v>99457</v>
      </c>
      <c r="M13" s="103">
        <f t="shared" ref="M13:M21" si="1">L13*25%</f>
        <v>24864.25</v>
      </c>
      <c r="N13" s="103">
        <f t="shared" ref="N13:N21" si="2">(M13+L13+J13+I13+G13+E13+D13)*0.1</f>
        <v>37937.875</v>
      </c>
      <c r="O13" s="88">
        <f t="shared" ref="O13:O21" si="3">C13+F13+H13+K13</f>
        <v>3</v>
      </c>
      <c r="P13" s="87">
        <f t="shared" ref="P13:P21" si="4">M13+L13+J13+I13+G13+E13+D13+N13</f>
        <v>417316.625</v>
      </c>
      <c r="Q13" s="98">
        <f t="shared" ref="Q13:Q21" si="5">(P13*12)/1000</f>
        <v>5007.7995000000001</v>
      </c>
    </row>
    <row r="14" spans="1:17" s="227" customFormat="1">
      <c r="A14" s="224" t="s">
        <v>28</v>
      </c>
      <c r="B14" s="224"/>
      <c r="C14" s="224">
        <v>1</v>
      </c>
      <c r="D14" s="84">
        <v>104589</v>
      </c>
      <c r="E14" s="84">
        <f t="shared" ref="E14:E21" si="6">D14*25%</f>
        <v>26147.25</v>
      </c>
      <c r="F14" s="224"/>
      <c r="G14" s="224"/>
      <c r="H14" s="249">
        <v>1</v>
      </c>
      <c r="I14" s="250">
        <v>99457</v>
      </c>
      <c r="J14" s="250">
        <f t="shared" si="0"/>
        <v>24864.25</v>
      </c>
      <c r="K14" s="249">
        <v>1</v>
      </c>
      <c r="L14" s="250">
        <v>93971</v>
      </c>
      <c r="M14" s="250">
        <f t="shared" si="1"/>
        <v>23492.75</v>
      </c>
      <c r="N14" s="250">
        <f t="shared" si="2"/>
        <v>37252.125</v>
      </c>
      <c r="O14" s="72">
        <f t="shared" si="3"/>
        <v>3</v>
      </c>
      <c r="P14" s="84">
        <f t="shared" si="4"/>
        <v>409773.375</v>
      </c>
      <c r="Q14" s="226">
        <f t="shared" si="5"/>
        <v>4917.2804999999998</v>
      </c>
    </row>
    <row r="15" spans="1:17" s="227" customFormat="1">
      <c r="A15" s="224" t="s">
        <v>29</v>
      </c>
      <c r="B15" s="224"/>
      <c r="C15" s="224">
        <v>1</v>
      </c>
      <c r="D15" s="84">
        <v>101227</v>
      </c>
      <c r="E15" s="84">
        <f t="shared" si="6"/>
        <v>25306.75</v>
      </c>
      <c r="F15" s="224">
        <v>1</v>
      </c>
      <c r="G15" s="224">
        <v>85123</v>
      </c>
      <c r="H15" s="249">
        <v>1.5</v>
      </c>
      <c r="I15" s="250">
        <v>142904</v>
      </c>
      <c r="J15" s="250">
        <f t="shared" si="0"/>
        <v>35726</v>
      </c>
      <c r="K15" s="249">
        <v>1.5</v>
      </c>
      <c r="L15" s="250">
        <v>143257</v>
      </c>
      <c r="M15" s="250">
        <f t="shared" si="1"/>
        <v>35814.25</v>
      </c>
      <c r="N15" s="250">
        <f t="shared" si="2"/>
        <v>56935.8</v>
      </c>
      <c r="O15" s="72">
        <f t="shared" si="3"/>
        <v>5</v>
      </c>
      <c r="P15" s="84">
        <f t="shared" si="4"/>
        <v>626293.80000000005</v>
      </c>
      <c r="Q15" s="226">
        <f t="shared" si="5"/>
        <v>7515.5256000000008</v>
      </c>
    </row>
    <row r="16" spans="1:17" s="227" customFormat="1">
      <c r="A16" s="224" t="s">
        <v>30</v>
      </c>
      <c r="B16" s="224"/>
      <c r="C16" s="224">
        <v>1</v>
      </c>
      <c r="D16" s="84">
        <v>98926</v>
      </c>
      <c r="E16" s="84">
        <f t="shared" si="6"/>
        <v>24731.5</v>
      </c>
      <c r="F16" s="224"/>
      <c r="G16" s="224"/>
      <c r="H16" s="249">
        <v>0.5</v>
      </c>
      <c r="I16" s="250">
        <v>46986</v>
      </c>
      <c r="J16" s="250">
        <f t="shared" si="0"/>
        <v>11746.5</v>
      </c>
      <c r="K16" s="249">
        <v>0.5</v>
      </c>
      <c r="L16" s="225">
        <v>49729</v>
      </c>
      <c r="M16" s="250">
        <f t="shared" si="1"/>
        <v>12432.25</v>
      </c>
      <c r="N16" s="250">
        <f t="shared" si="2"/>
        <v>24455.125</v>
      </c>
      <c r="O16" s="72">
        <f t="shared" si="3"/>
        <v>2</v>
      </c>
      <c r="P16" s="84">
        <f t="shared" si="4"/>
        <v>269006.375</v>
      </c>
      <c r="Q16" s="226">
        <f t="shared" si="5"/>
        <v>3228.0765000000001</v>
      </c>
    </row>
    <row r="17" spans="1:17" s="227" customFormat="1">
      <c r="A17" s="224" t="s">
        <v>31</v>
      </c>
      <c r="B17" s="224"/>
      <c r="C17" s="224">
        <v>1</v>
      </c>
      <c r="D17" s="84">
        <v>104589</v>
      </c>
      <c r="E17" s="84">
        <f t="shared" si="6"/>
        <v>26147.25</v>
      </c>
      <c r="F17" s="224"/>
      <c r="G17" s="224"/>
      <c r="H17" s="249">
        <v>0.5</v>
      </c>
      <c r="I17" s="250">
        <v>49729</v>
      </c>
      <c r="J17" s="250">
        <f t="shared" si="0"/>
        <v>12432.25</v>
      </c>
      <c r="K17" s="249">
        <v>0.5</v>
      </c>
      <c r="L17" s="250">
        <v>49729</v>
      </c>
      <c r="M17" s="250">
        <f t="shared" si="1"/>
        <v>12432.25</v>
      </c>
      <c r="N17" s="250">
        <f t="shared" si="2"/>
        <v>25505.875</v>
      </c>
      <c r="O17" s="72">
        <f t="shared" si="3"/>
        <v>2</v>
      </c>
      <c r="P17" s="84">
        <f t="shared" si="4"/>
        <v>280564.625</v>
      </c>
      <c r="Q17" s="226">
        <f t="shared" si="5"/>
        <v>3366.7755000000002</v>
      </c>
    </row>
    <row r="18" spans="1:17" s="227" customFormat="1">
      <c r="A18" s="224" t="s">
        <v>32</v>
      </c>
      <c r="B18" s="224"/>
      <c r="C18" s="224">
        <v>1</v>
      </c>
      <c r="D18" s="84">
        <v>104589</v>
      </c>
      <c r="E18" s="84">
        <f t="shared" si="6"/>
        <v>26147.25</v>
      </c>
      <c r="F18" s="224">
        <v>1</v>
      </c>
      <c r="G18" s="224">
        <v>102112</v>
      </c>
      <c r="H18" s="249">
        <v>1</v>
      </c>
      <c r="I18" s="250">
        <v>86715</v>
      </c>
      <c r="J18" s="250">
        <f t="shared" si="0"/>
        <v>21678.75</v>
      </c>
      <c r="K18" s="249">
        <v>1</v>
      </c>
      <c r="L18" s="225">
        <v>22254</v>
      </c>
      <c r="M18" s="250">
        <f t="shared" si="1"/>
        <v>5563.5</v>
      </c>
      <c r="N18" s="250">
        <f t="shared" si="2"/>
        <v>36905.950000000004</v>
      </c>
      <c r="O18" s="72">
        <f t="shared" si="3"/>
        <v>4</v>
      </c>
      <c r="P18" s="84">
        <f t="shared" si="4"/>
        <v>405965.45</v>
      </c>
      <c r="Q18" s="226">
        <f t="shared" si="5"/>
        <v>4871.5853999999999</v>
      </c>
    </row>
    <row r="19" spans="1:17" s="227" customFormat="1">
      <c r="A19" s="224" t="s">
        <v>33</v>
      </c>
      <c r="B19" s="224"/>
      <c r="C19" s="224">
        <v>1</v>
      </c>
      <c r="D19" s="84">
        <v>96095</v>
      </c>
      <c r="E19" s="84">
        <f t="shared" si="6"/>
        <v>24023.75</v>
      </c>
      <c r="F19" s="224"/>
      <c r="G19" s="224"/>
      <c r="H19" s="249">
        <v>0.5</v>
      </c>
      <c r="I19" s="250">
        <v>49729</v>
      </c>
      <c r="J19" s="250">
        <f t="shared" si="0"/>
        <v>12432.25</v>
      </c>
      <c r="K19" s="249">
        <v>0.5</v>
      </c>
      <c r="L19" s="250">
        <v>43358</v>
      </c>
      <c r="M19" s="250">
        <f t="shared" si="1"/>
        <v>10839.5</v>
      </c>
      <c r="N19" s="250">
        <f t="shared" si="2"/>
        <v>23647.75</v>
      </c>
      <c r="O19" s="72">
        <f t="shared" si="3"/>
        <v>2</v>
      </c>
      <c r="P19" s="84">
        <f t="shared" si="4"/>
        <v>260125.25</v>
      </c>
      <c r="Q19" s="226">
        <f t="shared" si="5"/>
        <v>3121.5030000000002</v>
      </c>
    </row>
    <row r="20" spans="1:17" s="227" customFormat="1">
      <c r="A20" s="224" t="s">
        <v>34</v>
      </c>
      <c r="B20" s="224"/>
      <c r="C20" s="224">
        <v>1</v>
      </c>
      <c r="D20" s="224">
        <v>104589</v>
      </c>
      <c r="E20" s="84">
        <f t="shared" si="6"/>
        <v>26147.25</v>
      </c>
      <c r="F20" s="224"/>
      <c r="G20" s="224"/>
      <c r="H20" s="249">
        <v>1</v>
      </c>
      <c r="I20" s="250">
        <v>91493</v>
      </c>
      <c r="J20" s="250">
        <f t="shared" si="0"/>
        <v>22873.25</v>
      </c>
      <c r="K20" s="249">
        <v>1</v>
      </c>
      <c r="L20" s="250">
        <v>96803</v>
      </c>
      <c r="M20" s="250">
        <f t="shared" si="1"/>
        <v>24200.75</v>
      </c>
      <c r="N20" s="250">
        <f t="shared" si="2"/>
        <v>36610.625</v>
      </c>
      <c r="O20" s="72">
        <f t="shared" si="3"/>
        <v>3</v>
      </c>
      <c r="P20" s="84">
        <f t="shared" si="4"/>
        <v>402716.875</v>
      </c>
      <c r="Q20" s="226">
        <f t="shared" si="5"/>
        <v>4832.6025</v>
      </c>
    </row>
    <row r="21" spans="1:17" s="227" customFormat="1">
      <c r="A21" s="224" t="s">
        <v>35</v>
      </c>
      <c r="B21" s="224"/>
      <c r="C21" s="224">
        <v>1</v>
      </c>
      <c r="D21" s="84">
        <v>104589</v>
      </c>
      <c r="E21" s="84">
        <f t="shared" si="6"/>
        <v>26147.25</v>
      </c>
      <c r="F21" s="224">
        <v>1</v>
      </c>
      <c r="G21" s="224">
        <v>88839</v>
      </c>
      <c r="H21" s="249">
        <v>1</v>
      </c>
      <c r="I21" s="250">
        <v>91493</v>
      </c>
      <c r="J21" s="250">
        <f t="shared" si="0"/>
        <v>22873.25</v>
      </c>
      <c r="K21" s="249">
        <v>1</v>
      </c>
      <c r="L21" s="225">
        <v>82291</v>
      </c>
      <c r="M21" s="250">
        <f t="shared" si="1"/>
        <v>20572.75</v>
      </c>
      <c r="N21" s="250">
        <f t="shared" si="2"/>
        <v>43680.525000000001</v>
      </c>
      <c r="O21" s="72">
        <f t="shared" si="3"/>
        <v>4</v>
      </c>
      <c r="P21" s="84">
        <f t="shared" si="4"/>
        <v>480485.77500000002</v>
      </c>
      <c r="Q21" s="226">
        <f t="shared" si="5"/>
        <v>5765.8293000000003</v>
      </c>
    </row>
    <row r="22" spans="1:17">
      <c r="A22" s="74" t="s">
        <v>72</v>
      </c>
      <c r="B22" s="75">
        <f>SUM(B12:B21)</f>
        <v>0</v>
      </c>
      <c r="C22" s="75">
        <f>SUM(C12:C21)</f>
        <v>10</v>
      </c>
      <c r="D22" s="75">
        <f>SUM(D12:D21)</f>
        <v>1028371</v>
      </c>
      <c r="E22" s="75">
        <f t="shared" ref="E22:Q22" si="7">SUM(E12:E21)</f>
        <v>257092.75</v>
      </c>
      <c r="F22" s="75">
        <f t="shared" si="7"/>
        <v>3</v>
      </c>
      <c r="G22" s="75">
        <f t="shared" si="7"/>
        <v>276074</v>
      </c>
      <c r="H22" s="74">
        <f t="shared" si="7"/>
        <v>9</v>
      </c>
      <c r="I22" s="75">
        <f t="shared" si="7"/>
        <v>842024</v>
      </c>
      <c r="J22" s="75">
        <f t="shared" si="7"/>
        <v>210506</v>
      </c>
      <c r="K22" s="74">
        <f t="shared" si="7"/>
        <v>9</v>
      </c>
      <c r="L22" s="75">
        <f t="shared" si="7"/>
        <v>772342</v>
      </c>
      <c r="M22" s="75">
        <f t="shared" si="7"/>
        <v>193085.5</v>
      </c>
      <c r="N22" s="75">
        <f t="shared" si="7"/>
        <v>357949.52500000002</v>
      </c>
      <c r="O22" s="74">
        <f t="shared" si="7"/>
        <v>31</v>
      </c>
      <c r="P22" s="75">
        <f t="shared" si="7"/>
        <v>3937444.7749999999</v>
      </c>
      <c r="Q22" s="75">
        <f t="shared" si="7"/>
        <v>47249.337299999992</v>
      </c>
    </row>
    <row r="23" spans="1:17">
      <c r="A23" s="58"/>
      <c r="B23" s="58"/>
      <c r="C23" s="58"/>
      <c r="D23" s="58"/>
      <c r="E23" s="58"/>
      <c r="F23" s="59"/>
      <c r="G23" s="59"/>
      <c r="M23" s="133"/>
      <c r="O23" s="60"/>
      <c r="P23" s="59"/>
      <c r="Q23" s="59"/>
    </row>
    <row r="24" spans="1:17">
      <c r="D24" s="4" t="s">
        <v>37</v>
      </c>
      <c r="E24" s="4"/>
      <c r="F24" s="4"/>
      <c r="G24" s="4"/>
      <c r="H24" s="214"/>
      <c r="I24" s="15"/>
      <c r="J24" s="15" t="s">
        <v>38</v>
      </c>
      <c r="K24" s="62"/>
      <c r="L24" s="3"/>
      <c r="O24" s="61"/>
      <c r="P24" s="61"/>
      <c r="Q24" s="61"/>
    </row>
    <row r="25" spans="1:17">
      <c r="D25" s="3"/>
      <c r="E25" s="3"/>
      <c r="F25" s="66"/>
      <c r="G25" s="3"/>
      <c r="H25" s="63"/>
      <c r="I25" s="63"/>
      <c r="J25" s="63"/>
      <c r="K25" s="3"/>
      <c r="L25" s="3"/>
      <c r="O25" s="61"/>
      <c r="P25" s="61"/>
      <c r="Q25" s="61"/>
    </row>
    <row r="26" spans="1:17">
      <c r="D26" s="62" t="s">
        <v>39</v>
      </c>
      <c r="E26" s="62"/>
      <c r="F26" s="215"/>
      <c r="G26" s="62"/>
      <c r="H26" s="15"/>
      <c r="I26" s="15"/>
      <c r="J26" s="15" t="s">
        <v>99</v>
      </c>
      <c r="K26" s="62"/>
      <c r="L26" s="3"/>
      <c r="O26" s="61"/>
      <c r="P26" s="61"/>
      <c r="Q26" s="61"/>
    </row>
  </sheetData>
  <mergeCells count="3">
    <mergeCell ref="C7:M7"/>
    <mergeCell ref="C8:M8"/>
    <mergeCell ref="C9:M9"/>
  </mergeCells>
  <pageMargins left="0.7" right="0.7" top="0.75" bottom="0.7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140" zoomScaleSheetLayoutView="140" workbookViewId="0">
      <selection activeCell="F5" sqref="F5"/>
    </sheetView>
  </sheetViews>
  <sheetFormatPr defaultRowHeight="15"/>
  <cols>
    <col min="1" max="1" width="15.140625" customWidth="1"/>
    <col min="2" max="2" width="6.7109375" customWidth="1"/>
    <col min="3" max="3" width="5.140625" customWidth="1"/>
    <col min="5" max="5" width="4.140625" customWidth="1"/>
    <col min="7" max="7" width="3.7109375" customWidth="1"/>
    <col min="9" max="9" width="4.28515625" customWidth="1"/>
    <col min="14" max="14" width="5.28515625" customWidth="1"/>
  </cols>
  <sheetData>
    <row r="1" spans="1:16">
      <c r="I1" s="127"/>
      <c r="J1" s="127"/>
      <c r="K1" s="127" t="s">
        <v>121</v>
      </c>
      <c r="L1" s="127"/>
      <c r="M1" s="127"/>
      <c r="N1" s="127"/>
      <c r="O1" s="127"/>
      <c r="P1" s="127"/>
    </row>
    <row r="2" spans="1:16">
      <c r="H2" s="127"/>
      <c r="I2" s="127"/>
      <c r="J2" s="127"/>
      <c r="K2" s="125" t="s">
        <v>123</v>
      </c>
      <c r="L2" s="125"/>
      <c r="M2" s="125"/>
      <c r="N2" s="125"/>
      <c r="O2" s="125"/>
      <c r="P2" s="125"/>
    </row>
    <row r="3" spans="1:16">
      <c r="H3" s="127"/>
      <c r="I3" s="127"/>
      <c r="J3" s="127"/>
      <c r="K3" s="125" t="s">
        <v>156</v>
      </c>
      <c r="L3" s="125"/>
      <c r="M3" s="125"/>
      <c r="N3" s="125"/>
      <c r="O3" s="125"/>
      <c r="P3" s="125"/>
    </row>
    <row r="4" spans="1:16">
      <c r="H4" s="127"/>
      <c r="I4" s="127"/>
      <c r="J4" s="127"/>
      <c r="K4" s="125" t="s">
        <v>98</v>
      </c>
      <c r="L4" s="125"/>
      <c r="M4" s="125"/>
      <c r="N4" s="125"/>
      <c r="O4" s="125"/>
      <c r="P4" s="125"/>
    </row>
    <row r="5" spans="1:16">
      <c r="C5" s="293"/>
      <c r="D5" s="293"/>
      <c r="H5" s="127"/>
      <c r="I5" s="127"/>
      <c r="J5" s="127"/>
      <c r="K5" s="125" t="s">
        <v>122</v>
      </c>
      <c r="L5" s="125"/>
      <c r="M5" s="125"/>
      <c r="N5" s="125"/>
      <c r="O5" s="125"/>
      <c r="P5" s="125"/>
    </row>
    <row r="6" spans="1:16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>
      <c r="A7" s="69"/>
      <c r="B7" s="69"/>
      <c r="C7" s="293" t="s">
        <v>73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68"/>
      <c r="O7" s="69"/>
      <c r="P7" s="69"/>
    </row>
    <row r="8" spans="1:16">
      <c r="A8" s="69"/>
      <c r="B8" s="69"/>
      <c r="C8" s="293" t="s">
        <v>62</v>
      </c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69"/>
      <c r="P8" s="56"/>
    </row>
    <row r="9" spans="1:16">
      <c r="A9" s="70"/>
      <c r="B9" s="70"/>
      <c r="C9" s="293" t="s">
        <v>155</v>
      </c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70"/>
      <c r="P9" s="56"/>
    </row>
    <row r="10" spans="1:16" ht="43.5">
      <c r="A10" s="112" t="s">
        <v>63</v>
      </c>
      <c r="B10" s="113" t="s">
        <v>64</v>
      </c>
      <c r="C10" s="114" t="s">
        <v>44</v>
      </c>
      <c r="D10" s="113" t="s">
        <v>74</v>
      </c>
      <c r="E10" s="119" t="s">
        <v>44</v>
      </c>
      <c r="F10" s="116" t="s">
        <v>75</v>
      </c>
      <c r="G10" s="120" t="s">
        <v>44</v>
      </c>
      <c r="H10" s="121" t="s">
        <v>76</v>
      </c>
      <c r="I10" s="114" t="s">
        <v>44</v>
      </c>
      <c r="J10" s="113" t="s">
        <v>77</v>
      </c>
      <c r="K10" s="113" t="s">
        <v>78</v>
      </c>
      <c r="L10" s="113" t="s">
        <v>79</v>
      </c>
      <c r="M10" s="117" t="s">
        <v>50</v>
      </c>
      <c r="N10" s="113" t="s">
        <v>70</v>
      </c>
      <c r="O10" s="113" t="s">
        <v>80</v>
      </c>
      <c r="P10" s="75" t="s">
        <v>59</v>
      </c>
    </row>
    <row r="11" spans="1:16" s="227" customFormat="1" ht="17.25" customHeight="1">
      <c r="A11" s="247" t="s">
        <v>26</v>
      </c>
      <c r="B11" s="248"/>
      <c r="C11" s="224">
        <v>1</v>
      </c>
      <c r="D11" s="84">
        <v>41588</v>
      </c>
      <c r="E11" s="225">
        <v>1</v>
      </c>
      <c r="F11" s="250">
        <v>39818</v>
      </c>
      <c r="G11" s="224"/>
      <c r="H11" s="224"/>
      <c r="I11" s="72">
        <v>0.5</v>
      </c>
      <c r="J11" s="84">
        <v>18582</v>
      </c>
      <c r="K11" s="84">
        <v>2655</v>
      </c>
      <c r="L11" s="84">
        <f>(J11+H11)*0.25</f>
        <v>4645.5</v>
      </c>
      <c r="M11" s="84">
        <f>(L11+J11+H11+F11+D11)*0.1</f>
        <v>10463.35</v>
      </c>
      <c r="N11" s="72">
        <f t="shared" ref="N11:N20" si="0">I11+G11+E11+C11</f>
        <v>2.5</v>
      </c>
      <c r="O11" s="84">
        <f>L11+J11+H11+F11+D11+K11+M11</f>
        <v>117751.85</v>
      </c>
      <c r="P11" s="226">
        <f>(O11*12)/1000</f>
        <v>1413.0222000000001</v>
      </c>
    </row>
    <row r="12" spans="1:16" s="227" customFormat="1">
      <c r="A12" s="224" t="s">
        <v>27</v>
      </c>
      <c r="B12" s="224"/>
      <c r="C12" s="84">
        <v>1</v>
      </c>
      <c r="D12" s="84">
        <v>44596</v>
      </c>
      <c r="E12" s="225">
        <v>1</v>
      </c>
      <c r="F12" s="225">
        <v>65302</v>
      </c>
      <c r="G12" s="224">
        <v>1</v>
      </c>
      <c r="H12" s="84">
        <v>53799</v>
      </c>
      <c r="I12" s="224">
        <v>0.5</v>
      </c>
      <c r="J12" s="84">
        <v>20352</v>
      </c>
      <c r="K12" s="84">
        <v>2655</v>
      </c>
      <c r="L12" s="84">
        <f t="shared" ref="L12:L20" si="1">(J12+H12)*0.25</f>
        <v>18537.75</v>
      </c>
      <c r="M12" s="84">
        <f t="shared" ref="M12:M20" si="2">(L12+J12+H12+F12+D12)*0.1</f>
        <v>20258.675000000003</v>
      </c>
      <c r="N12" s="72">
        <f t="shared" si="0"/>
        <v>3.5</v>
      </c>
      <c r="O12" s="84">
        <f t="shared" ref="O12:O20" si="3">L12+J12+H12+F12+D12+K12+M12</f>
        <v>225500.42499999999</v>
      </c>
      <c r="P12" s="226">
        <f t="shared" ref="P12:P20" si="4">(O12*12)/1000</f>
        <v>2706.0050999999994</v>
      </c>
    </row>
    <row r="13" spans="1:16" s="227" customFormat="1">
      <c r="A13" s="224" t="s">
        <v>28</v>
      </c>
      <c r="B13" s="224"/>
      <c r="C13" s="224">
        <v>1</v>
      </c>
      <c r="D13" s="84">
        <v>45658</v>
      </c>
      <c r="E13" s="225"/>
      <c r="F13" s="225"/>
      <c r="G13" s="224"/>
      <c r="H13" s="84"/>
      <c r="I13" s="72">
        <v>1</v>
      </c>
      <c r="J13" s="84">
        <v>45658</v>
      </c>
      <c r="K13" s="84">
        <v>5309</v>
      </c>
      <c r="L13" s="84">
        <f t="shared" si="1"/>
        <v>11414.5</v>
      </c>
      <c r="M13" s="84">
        <f t="shared" si="2"/>
        <v>10273.050000000001</v>
      </c>
      <c r="N13" s="72">
        <f t="shared" si="0"/>
        <v>2</v>
      </c>
      <c r="O13" s="84">
        <f t="shared" si="3"/>
        <v>118312.55</v>
      </c>
      <c r="P13" s="226">
        <f t="shared" si="4"/>
        <v>1419.7506000000001</v>
      </c>
    </row>
    <row r="14" spans="1:16" s="227" customFormat="1">
      <c r="A14" s="224" t="s">
        <v>29</v>
      </c>
      <c r="B14" s="224"/>
      <c r="C14" s="224"/>
      <c r="D14" s="84"/>
      <c r="E14" s="249"/>
      <c r="F14" s="225"/>
      <c r="G14" s="224">
        <v>1</v>
      </c>
      <c r="H14" s="84">
        <v>62470</v>
      </c>
      <c r="I14" s="224">
        <v>1</v>
      </c>
      <c r="J14" s="84">
        <v>75389</v>
      </c>
      <c r="K14" s="84">
        <v>5309</v>
      </c>
      <c r="L14" s="84">
        <f>(J14+H14)*0.25</f>
        <v>34464.75</v>
      </c>
      <c r="M14" s="84">
        <f t="shared" si="2"/>
        <v>17232.375</v>
      </c>
      <c r="N14" s="72">
        <f t="shared" si="0"/>
        <v>2</v>
      </c>
      <c r="O14" s="84">
        <f t="shared" si="3"/>
        <v>194865.125</v>
      </c>
      <c r="P14" s="226">
        <f t="shared" si="4"/>
        <v>2338.3815</v>
      </c>
    </row>
    <row r="15" spans="1:16" s="227" customFormat="1">
      <c r="A15" s="224" t="s">
        <v>30</v>
      </c>
      <c r="B15" s="224"/>
      <c r="C15" s="224">
        <v>1</v>
      </c>
      <c r="D15" s="84">
        <v>41588</v>
      </c>
      <c r="E15" s="225"/>
      <c r="F15" s="225"/>
      <c r="G15" s="224">
        <v>1</v>
      </c>
      <c r="H15" s="84">
        <v>36279</v>
      </c>
      <c r="I15" s="72">
        <v>0.5</v>
      </c>
      <c r="J15" s="84">
        <v>34155</v>
      </c>
      <c r="K15" s="84">
        <v>2655</v>
      </c>
      <c r="L15" s="84">
        <f t="shared" si="1"/>
        <v>17608.5</v>
      </c>
      <c r="M15" s="84">
        <f t="shared" si="2"/>
        <v>12963.050000000001</v>
      </c>
      <c r="N15" s="72">
        <f t="shared" si="0"/>
        <v>2.5</v>
      </c>
      <c r="O15" s="84">
        <f t="shared" si="3"/>
        <v>145248.54999999999</v>
      </c>
      <c r="P15" s="226">
        <f t="shared" si="4"/>
        <v>1742.9825999999998</v>
      </c>
    </row>
    <row r="16" spans="1:16" s="227" customFormat="1">
      <c r="A16" s="224" t="s">
        <v>31</v>
      </c>
      <c r="B16" s="224"/>
      <c r="C16" s="224">
        <v>1</v>
      </c>
      <c r="D16" s="84">
        <v>45658</v>
      </c>
      <c r="E16" s="225"/>
      <c r="F16" s="225"/>
      <c r="G16" s="224"/>
      <c r="H16" s="84"/>
      <c r="I16" s="72">
        <v>0.5</v>
      </c>
      <c r="J16" s="84">
        <v>19467</v>
      </c>
      <c r="K16" s="84">
        <v>2655</v>
      </c>
      <c r="L16" s="84">
        <f t="shared" si="1"/>
        <v>4866.75</v>
      </c>
      <c r="M16" s="84">
        <f t="shared" si="2"/>
        <v>6999.1750000000002</v>
      </c>
      <c r="N16" s="72">
        <f t="shared" si="0"/>
        <v>1.5</v>
      </c>
      <c r="O16" s="84">
        <f t="shared" si="3"/>
        <v>79645.925000000003</v>
      </c>
      <c r="P16" s="226">
        <f t="shared" si="4"/>
        <v>955.75110000000006</v>
      </c>
    </row>
    <row r="17" spans="1:16" s="227" customFormat="1">
      <c r="A17" s="224" t="s">
        <v>32</v>
      </c>
      <c r="B17" s="224"/>
      <c r="C17" s="224"/>
      <c r="D17" s="84"/>
      <c r="E17" s="249"/>
      <c r="F17" s="225"/>
      <c r="G17" s="224"/>
      <c r="H17" s="84"/>
      <c r="I17" s="72">
        <v>1</v>
      </c>
      <c r="J17" s="84">
        <v>67249</v>
      </c>
      <c r="K17" s="84">
        <v>5309</v>
      </c>
      <c r="L17" s="84">
        <f t="shared" si="1"/>
        <v>16812.25</v>
      </c>
      <c r="M17" s="84">
        <f t="shared" si="2"/>
        <v>8406.125</v>
      </c>
      <c r="N17" s="72">
        <f t="shared" si="0"/>
        <v>1</v>
      </c>
      <c r="O17" s="84">
        <f t="shared" si="3"/>
        <v>97776.375</v>
      </c>
      <c r="P17" s="226">
        <f t="shared" si="4"/>
        <v>1173.3164999999999</v>
      </c>
    </row>
    <row r="18" spans="1:16" s="227" customFormat="1">
      <c r="A18" s="224" t="s">
        <v>33</v>
      </c>
      <c r="B18" s="224"/>
      <c r="C18" s="224">
        <v>1</v>
      </c>
      <c r="D18" s="84">
        <v>43535</v>
      </c>
      <c r="E18" s="225"/>
      <c r="F18" s="225"/>
      <c r="G18" s="224"/>
      <c r="H18" s="84"/>
      <c r="I18" s="224">
        <v>0.5</v>
      </c>
      <c r="J18" s="84">
        <v>31235</v>
      </c>
      <c r="K18" s="84">
        <v>2655</v>
      </c>
      <c r="L18" s="84">
        <f t="shared" si="1"/>
        <v>7808.75</v>
      </c>
      <c r="M18" s="84">
        <f t="shared" si="2"/>
        <v>8257.875</v>
      </c>
      <c r="N18" s="72">
        <f t="shared" si="0"/>
        <v>1.5</v>
      </c>
      <c r="O18" s="84">
        <f t="shared" si="3"/>
        <v>93491.625</v>
      </c>
      <c r="P18" s="226">
        <f t="shared" si="4"/>
        <v>1121.8995</v>
      </c>
    </row>
    <row r="19" spans="1:16" s="227" customFormat="1">
      <c r="A19" s="224" t="s">
        <v>34</v>
      </c>
      <c r="B19" s="224"/>
      <c r="C19" s="224">
        <v>1</v>
      </c>
      <c r="D19" s="84">
        <v>45658</v>
      </c>
      <c r="E19" s="225"/>
      <c r="F19" s="225"/>
      <c r="G19" s="224"/>
      <c r="H19" s="84"/>
      <c r="I19" s="72">
        <v>0.5</v>
      </c>
      <c r="J19" s="84">
        <v>31943</v>
      </c>
      <c r="K19" s="84">
        <v>2655</v>
      </c>
      <c r="L19" s="84">
        <f t="shared" si="1"/>
        <v>7985.75</v>
      </c>
      <c r="M19" s="84">
        <f t="shared" si="2"/>
        <v>8558.6750000000011</v>
      </c>
      <c r="N19" s="72">
        <f t="shared" si="0"/>
        <v>1.5</v>
      </c>
      <c r="O19" s="84">
        <f t="shared" si="3"/>
        <v>96800.425000000003</v>
      </c>
      <c r="P19" s="226">
        <f t="shared" si="4"/>
        <v>1161.6051</v>
      </c>
    </row>
    <row r="20" spans="1:16" s="227" customFormat="1">
      <c r="A20" s="224" t="s">
        <v>35</v>
      </c>
      <c r="B20" s="224"/>
      <c r="C20" s="224">
        <v>0</v>
      </c>
      <c r="D20" s="84">
        <v>0</v>
      </c>
      <c r="E20" s="249">
        <v>1</v>
      </c>
      <c r="F20" s="225">
        <v>54507</v>
      </c>
      <c r="G20" s="224">
        <v>0</v>
      </c>
      <c r="H20" s="84">
        <v>0</v>
      </c>
      <c r="I20" s="72">
        <v>1</v>
      </c>
      <c r="J20" s="84">
        <v>61409</v>
      </c>
      <c r="K20" s="84">
        <v>5309</v>
      </c>
      <c r="L20" s="84">
        <f t="shared" si="1"/>
        <v>15352.25</v>
      </c>
      <c r="M20" s="84">
        <f t="shared" si="2"/>
        <v>13126.825000000001</v>
      </c>
      <c r="N20" s="72">
        <f t="shared" si="0"/>
        <v>2</v>
      </c>
      <c r="O20" s="84">
        <f t="shared" si="3"/>
        <v>149704.07500000001</v>
      </c>
      <c r="P20" s="226">
        <f t="shared" si="4"/>
        <v>1796.4489000000001</v>
      </c>
    </row>
    <row r="21" spans="1:16">
      <c r="A21" s="74" t="s">
        <v>72</v>
      </c>
      <c r="B21" s="75">
        <f>SUM(B11:B20)</f>
        <v>0</v>
      </c>
      <c r="C21" s="75">
        <f>SUM(C11:C20)</f>
        <v>7</v>
      </c>
      <c r="D21" s="75">
        <f>SUM(D11:D20)</f>
        <v>308281</v>
      </c>
      <c r="E21" s="74">
        <f t="shared" ref="E21:P21" si="5">SUM(E11:E20)</f>
        <v>3</v>
      </c>
      <c r="F21" s="75">
        <f>SUM(F11:F20)</f>
        <v>159627</v>
      </c>
      <c r="G21" s="74">
        <f t="shared" si="5"/>
        <v>3</v>
      </c>
      <c r="H21" s="75">
        <f t="shared" si="5"/>
        <v>152548</v>
      </c>
      <c r="I21" s="74">
        <f t="shared" si="5"/>
        <v>7</v>
      </c>
      <c r="J21" s="75">
        <f t="shared" si="5"/>
        <v>405439</v>
      </c>
      <c r="K21" s="75">
        <f t="shared" si="5"/>
        <v>37166</v>
      </c>
      <c r="L21" s="75">
        <f t="shared" si="5"/>
        <v>139496.75</v>
      </c>
      <c r="M21" s="75">
        <f t="shared" si="5"/>
        <v>116539.175</v>
      </c>
      <c r="N21" s="74">
        <f>SUM(N11:N20)</f>
        <v>20</v>
      </c>
      <c r="O21" s="75">
        <f>SUM(O11:O20)</f>
        <v>1319096.925</v>
      </c>
      <c r="P21" s="76">
        <f t="shared" si="5"/>
        <v>15829.163099999998</v>
      </c>
    </row>
    <row r="22" spans="1:16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1:16">
      <c r="A23" s="71"/>
      <c r="B23" s="71"/>
      <c r="C23" s="71"/>
      <c r="D23" s="4" t="s">
        <v>37</v>
      </c>
      <c r="E23" s="4"/>
      <c r="F23" s="4"/>
      <c r="G23" s="4"/>
      <c r="H23" s="194"/>
      <c r="I23" s="15"/>
      <c r="J23" s="15" t="s">
        <v>38</v>
      </c>
      <c r="K23" s="62"/>
      <c r="L23" s="3"/>
      <c r="M23" s="3"/>
      <c r="N23" s="71"/>
      <c r="O23" s="71"/>
      <c r="P23" s="71"/>
    </row>
    <row r="24" spans="1:16">
      <c r="A24" s="71"/>
      <c r="B24" s="71"/>
      <c r="C24" s="71"/>
      <c r="D24" s="3"/>
      <c r="E24" s="3"/>
      <c r="F24" s="66"/>
      <c r="G24" s="3"/>
      <c r="H24" s="63"/>
      <c r="I24" s="63"/>
      <c r="J24" s="63"/>
      <c r="K24" s="3"/>
      <c r="L24" s="3"/>
      <c r="M24" s="3"/>
      <c r="N24" s="71"/>
      <c r="O24" s="71"/>
      <c r="P24" s="71"/>
    </row>
    <row r="25" spans="1:16">
      <c r="A25" s="71"/>
      <c r="B25" s="71"/>
      <c r="C25" s="71"/>
      <c r="D25" s="62" t="s">
        <v>39</v>
      </c>
      <c r="E25" s="62"/>
      <c r="F25" s="64"/>
      <c r="G25" s="62"/>
      <c r="H25" s="15"/>
      <c r="I25" s="15"/>
      <c r="J25" s="15" t="s">
        <v>99</v>
      </c>
      <c r="K25" s="62"/>
      <c r="L25" s="3"/>
      <c r="M25" s="3"/>
      <c r="N25" s="71"/>
      <c r="O25" s="71"/>
      <c r="P25" s="71"/>
    </row>
  </sheetData>
  <mergeCells count="4">
    <mergeCell ref="C9:N9"/>
    <mergeCell ref="C5:D5"/>
    <mergeCell ref="C8:N8"/>
    <mergeCell ref="C7:M7"/>
  </mergeCells>
  <phoneticPr fontId="3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7</vt:i4>
      </vt:variant>
    </vt:vector>
  </HeadingPairs>
  <TitlesOfParts>
    <vt:vector size="21" baseType="lpstr">
      <vt:lpstr>учителя </vt:lpstr>
      <vt:lpstr>учителя новый</vt:lpstr>
      <vt:lpstr>осноной перс</vt:lpstr>
      <vt:lpstr>осноной перс (новый)</vt:lpstr>
      <vt:lpstr>воспитателей</vt:lpstr>
      <vt:lpstr>воспитателей (новый)</vt:lpstr>
      <vt:lpstr>управлен перс</vt:lpstr>
      <vt:lpstr>управлен перс (новый)</vt:lpstr>
      <vt:lpstr>админ перс</vt:lpstr>
      <vt:lpstr>админ перс (новый)</vt:lpstr>
      <vt:lpstr>вспомаг п</vt:lpstr>
      <vt:lpstr>вспомаг п (новый)</vt:lpstr>
      <vt:lpstr>СВОД тех пер  (новый)</vt:lpstr>
      <vt:lpstr>СВОД тех пер </vt:lpstr>
      <vt:lpstr>воспитателей!Область_печати</vt:lpstr>
      <vt:lpstr>'воспитателей (новый)'!Область_печати</vt:lpstr>
      <vt:lpstr>'осноной перс'!Область_печати</vt:lpstr>
      <vt:lpstr>'осноной перс (новый)'!Область_печати</vt:lpstr>
      <vt:lpstr>'СВОД тех пер '!Область_печати</vt:lpstr>
      <vt:lpstr>'учителя '!Область_печати</vt:lpstr>
      <vt:lpstr>'учителя новый'!Область_печати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пфф</dc:creator>
  <cp:lastModifiedBy>XTreme.ws</cp:lastModifiedBy>
  <cp:lastPrinted>2019-10-16T11:18:05Z</cp:lastPrinted>
  <dcterms:created xsi:type="dcterms:W3CDTF">2017-10-08T09:06:26Z</dcterms:created>
  <dcterms:modified xsi:type="dcterms:W3CDTF">2019-10-17T13:47:19Z</dcterms:modified>
</cp:coreProperties>
</file>